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64011"/>
  <mc:AlternateContent xmlns:mc="http://schemas.openxmlformats.org/markup-compatibility/2006">
    <mc:Choice Requires="x15">
      <x15ac:absPath xmlns:x15ac="http://schemas.microsoft.com/office/spreadsheetml/2010/11/ac" url="J:\R35\35 Fehrling\_Aufgaben\2022-11 Energiekrise\Härtefälle\Eigenes Härtefallprogramm\Final\"/>
    </mc:Choice>
  </mc:AlternateContent>
  <workbookProtection workbookAlgorithmName="SHA-512" workbookHashValue="uHiEFxSOE3eqlHMHMfj/gFQpTp/Qa+GnqlHPUlcz2/PBaa4MfcGmfuVxm/RAKEzd1qBYfAICppfAT2328Gw+CA==" workbookSaltValue="6bT2CbaUan5VlkRIO3VBQg==" workbookSpinCount="100000" lockStructure="1"/>
  <bookViews>
    <workbookView xWindow="28680" yWindow="-120" windowWidth="29040" windowHeight="15840"/>
  </bookViews>
  <sheets>
    <sheet name="Stammdaten" sheetId="6" r:id="rId1"/>
    <sheet name="Betriebsstätten" sheetId="11" r:id="rId2"/>
    <sheet name="Kostenaufstellungen" sheetId="5" r:id="rId3"/>
    <sheet name="Stufe 1" sheetId="1" r:id="rId4"/>
    <sheet name="Stufe 2 und 3" sheetId="3" r:id="rId5"/>
    <sheet name="Ergebnis" sheetId="10" r:id="rId6"/>
    <sheet name="SAB" sheetId="12" r:id="rId7"/>
    <sheet name="I_SV" sheetId="2" state="hidden" r:id="rId8"/>
    <sheet name="WZ" sheetId="9" state="hidden" r:id="rId9"/>
  </sheets>
  <definedNames>
    <definedName name="_xlnm._FilterDatabase" localSheetId="8" hidden="1">#REF!</definedName>
    <definedName name="_xlnm.Print_Area" localSheetId="1">Betriebsstätten!$A$1:$M$82</definedName>
    <definedName name="_xlnm.Print_Area" localSheetId="5">Ergebnis!$A$1:$G$46</definedName>
    <definedName name="_xlnm.Print_Area" localSheetId="2">Kostenaufstellungen!$A$1:$H$455</definedName>
    <definedName name="_xlnm.Print_Area" localSheetId="0">Stammdaten!$A$1:$AP$116</definedName>
    <definedName name="_xlnm.Print_Area" localSheetId="3">'Stufe 1'!$A$1:$J$67</definedName>
    <definedName name="_xlnm.Print_Area" localSheetId="4">'Stufe 2 und 3'!$A$1:$M$109</definedName>
    <definedName name="_xlnm.Print_Titles" localSheetId="1">Betriebsstätten!$1:$2</definedName>
    <definedName name="_xlnm.Print_Titles" localSheetId="2">Kostenaufstellungen!$1:$1</definedName>
    <definedName name="_xlnm.Print_Titles" localSheetId="0">Stammdaten!$1:$2</definedName>
    <definedName name="_xlnm.Criteria" localSheetId="8">WZ!#REF!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0" l="1"/>
  <c r="T82" i="11"/>
  <c r="S26" i="3"/>
  <c r="N26" i="3" s="1"/>
  <c r="J64" i="1"/>
  <c r="J56" i="1"/>
  <c r="J48" i="1"/>
  <c r="J36" i="1"/>
  <c r="J29" i="1"/>
  <c r="J22" i="1"/>
  <c r="N63" i="1"/>
  <c r="N62" i="1"/>
  <c r="N55" i="1"/>
  <c r="N54" i="1"/>
  <c r="N47" i="1"/>
  <c r="N46" i="1"/>
  <c r="N35" i="1"/>
  <c r="N34" i="1"/>
  <c r="N28" i="1"/>
  <c r="N27" i="1"/>
  <c r="N21" i="1"/>
  <c r="N20" i="1"/>
  <c r="F9" i="10"/>
  <c r="T37" i="11"/>
  <c r="N37" i="11" s="1"/>
  <c r="D15" i="12" l="1"/>
  <c r="B67" i="3" l="1"/>
  <c r="B65" i="3"/>
  <c r="B10" i="1"/>
  <c r="B12" i="1"/>
  <c r="H1" i="12" l="1"/>
  <c r="G26" i="12"/>
  <c r="G24" i="12"/>
  <c r="G25" i="12"/>
  <c r="G23" i="12"/>
  <c r="F26" i="12"/>
  <c r="F24" i="12"/>
  <c r="F25" i="12"/>
  <c r="F23" i="12"/>
  <c r="E26" i="12"/>
  <c r="E24" i="12"/>
  <c r="E25" i="12"/>
  <c r="E23" i="12"/>
  <c r="B118" i="12" l="1"/>
  <c r="B117" i="12"/>
  <c r="B116" i="12"/>
  <c r="G22" i="12" l="1"/>
  <c r="F22" i="12"/>
  <c r="E22" i="12"/>
  <c r="B111" i="12" l="1"/>
  <c r="BD66" i="6" l="1"/>
  <c r="AQ66" i="6" s="1"/>
  <c r="Q5" i="11"/>
  <c r="R11" i="11" s="1"/>
  <c r="Q12" i="11"/>
  <c r="Q13" i="11"/>
  <c r="Q14" i="11"/>
  <c r="Q15" i="11"/>
  <c r="Q16" i="11"/>
  <c r="Q17" i="11"/>
  <c r="Q18" i="11"/>
  <c r="Q19" i="11"/>
  <c r="Q20" i="11"/>
  <c r="Q21" i="11"/>
  <c r="Q22" i="11"/>
  <c r="Q23" i="11"/>
  <c r="Q24" i="11"/>
  <c r="Q25" i="11"/>
  <c r="Q26" i="11"/>
  <c r="Q27" i="11"/>
  <c r="Q28" i="11"/>
  <c r="Q29" i="11"/>
  <c r="Q30" i="11"/>
  <c r="Q11" i="11"/>
  <c r="T11" i="11" l="1"/>
  <c r="N11" i="11" s="1"/>
  <c r="BD75" i="6"/>
  <c r="AQ75" i="6" s="1"/>
  <c r="BD80" i="6"/>
  <c r="AQ80" i="6" s="1"/>
  <c r="BH63" i="6" l="1"/>
  <c r="BH61" i="6"/>
  <c r="BH59" i="6"/>
  <c r="BH57" i="6"/>
  <c r="BH55" i="6"/>
  <c r="BG55" i="6"/>
  <c r="BF55" i="6"/>
  <c r="BG63" i="6"/>
  <c r="BF63" i="6"/>
  <c r="BG61" i="6"/>
  <c r="BF61" i="6"/>
  <c r="BG59" i="6"/>
  <c r="BF59" i="6"/>
  <c r="BG57" i="6"/>
  <c r="BF57" i="6"/>
  <c r="BF75" i="6"/>
  <c r="M77" i="6" s="1"/>
  <c r="BD55" i="6" l="1"/>
  <c r="BD59" i="6"/>
  <c r="AQ59" i="6" s="1"/>
  <c r="BD63" i="6"/>
  <c r="AQ63" i="6" s="1"/>
  <c r="BD57" i="6"/>
  <c r="BI59" i="6"/>
  <c r="BD61" i="6"/>
  <c r="BI63" i="6" l="1"/>
  <c r="AQ61" i="6"/>
  <c r="BI61" i="6"/>
  <c r="AQ55" i="6"/>
  <c r="BI55" i="6"/>
  <c r="AQ57" i="6"/>
  <c r="BI57" i="6"/>
  <c r="G372" i="5"/>
  <c r="G361" i="5"/>
  <c r="D32" i="12"/>
  <c r="C32" i="12"/>
  <c r="B120" i="12"/>
  <c r="B119" i="12"/>
  <c r="B115" i="12"/>
  <c r="B114" i="12"/>
  <c r="B32" i="12"/>
  <c r="D28" i="12"/>
  <c r="C28" i="12"/>
  <c r="B28" i="12"/>
  <c r="BI64" i="6" l="1"/>
  <c r="B112" i="12" s="1"/>
  <c r="G68" i="5"/>
  <c r="C45" i="10"/>
  <c r="B45" i="10"/>
  <c r="F45" i="10"/>
  <c r="C14" i="10" s="1"/>
  <c r="H26" i="10"/>
  <c r="J26" i="10"/>
  <c r="P3" i="3"/>
  <c r="L30" i="3"/>
  <c r="L29" i="3"/>
  <c r="G81" i="12" s="1"/>
  <c r="J30" i="3"/>
  <c r="J29" i="3"/>
  <c r="F81" i="12" s="1"/>
  <c r="L196" i="5"/>
  <c r="M196" i="5" s="1"/>
  <c r="I196" i="5" s="1"/>
  <c r="L195" i="5"/>
  <c r="M195" i="5" s="1"/>
  <c r="I195" i="5" s="1"/>
  <c r="L194" i="5"/>
  <c r="M194" i="5" s="1"/>
  <c r="I194" i="5" s="1"/>
  <c r="L193" i="5"/>
  <c r="M193" i="5" s="1"/>
  <c r="I193" i="5" s="1"/>
  <c r="L192" i="5"/>
  <c r="M192" i="5" s="1"/>
  <c r="I192" i="5" s="1"/>
  <c r="L191" i="5"/>
  <c r="M191" i="5" s="1"/>
  <c r="I191" i="5" s="1"/>
  <c r="L190" i="5"/>
  <c r="K190" i="5"/>
  <c r="L189" i="5"/>
  <c r="K189" i="5"/>
  <c r="M189" i="5" s="1"/>
  <c r="I189" i="5" s="1"/>
  <c r="L188" i="5"/>
  <c r="K188" i="5"/>
  <c r="L187" i="5"/>
  <c r="K187" i="5"/>
  <c r="M187" i="5" s="1"/>
  <c r="I187" i="5" s="1"/>
  <c r="L186" i="5"/>
  <c r="K186" i="5"/>
  <c r="L185" i="5"/>
  <c r="K185" i="5"/>
  <c r="L184" i="5"/>
  <c r="K184" i="5"/>
  <c r="L183" i="5"/>
  <c r="K183" i="5"/>
  <c r="M183" i="5" s="1"/>
  <c r="I183" i="5" s="1"/>
  <c r="L182" i="5"/>
  <c r="K182" i="5"/>
  <c r="L181" i="5"/>
  <c r="K181" i="5"/>
  <c r="M181" i="5" s="1"/>
  <c r="L128" i="5"/>
  <c r="M128" i="5" s="1"/>
  <c r="I128" i="5" s="1"/>
  <c r="L127" i="5"/>
  <c r="M127" i="5" s="1"/>
  <c r="I127" i="5" s="1"/>
  <c r="L126" i="5"/>
  <c r="M126" i="5" s="1"/>
  <c r="I126" i="5" s="1"/>
  <c r="L125" i="5"/>
  <c r="M125" i="5" s="1"/>
  <c r="I125" i="5" s="1"/>
  <c r="L124" i="5"/>
  <c r="M124" i="5" s="1"/>
  <c r="I124" i="5" s="1"/>
  <c r="M123" i="5"/>
  <c r="I123" i="5" s="1"/>
  <c r="L123" i="5"/>
  <c r="L122" i="5"/>
  <c r="K122" i="5"/>
  <c r="M122" i="5" s="1"/>
  <c r="I122" i="5" s="1"/>
  <c r="L121" i="5"/>
  <c r="K121" i="5"/>
  <c r="L120" i="5"/>
  <c r="K120" i="5"/>
  <c r="M120" i="5" s="1"/>
  <c r="I120" i="5" s="1"/>
  <c r="L119" i="5"/>
  <c r="K119" i="5"/>
  <c r="L118" i="5"/>
  <c r="K118" i="5"/>
  <c r="M118" i="5" s="1"/>
  <c r="I118" i="5" s="1"/>
  <c r="L117" i="5"/>
  <c r="K117" i="5"/>
  <c r="L116" i="5"/>
  <c r="K116" i="5"/>
  <c r="M116" i="5" s="1"/>
  <c r="I116" i="5" s="1"/>
  <c r="L115" i="5"/>
  <c r="K115" i="5"/>
  <c r="L114" i="5"/>
  <c r="K114" i="5"/>
  <c r="M114" i="5" s="1"/>
  <c r="I114" i="5" s="1"/>
  <c r="L113" i="5"/>
  <c r="K113" i="5"/>
  <c r="I440" i="5"/>
  <c r="L436" i="5"/>
  <c r="M436" i="5" s="1"/>
  <c r="I436" i="5" s="1"/>
  <c r="L435" i="5"/>
  <c r="M435" i="5" s="1"/>
  <c r="I435" i="5" s="1"/>
  <c r="L434" i="5"/>
  <c r="M434" i="5" s="1"/>
  <c r="I434" i="5" s="1"/>
  <c r="L433" i="5"/>
  <c r="M433" i="5" s="1"/>
  <c r="I433" i="5" s="1"/>
  <c r="L432" i="5"/>
  <c r="M432" i="5" s="1"/>
  <c r="I432" i="5" s="1"/>
  <c r="L431" i="5"/>
  <c r="M431" i="5" s="1"/>
  <c r="I431" i="5" s="1"/>
  <c r="L430" i="5"/>
  <c r="K430" i="5"/>
  <c r="L429" i="5"/>
  <c r="K429" i="5"/>
  <c r="L428" i="5"/>
  <c r="K428" i="5"/>
  <c r="L427" i="5"/>
  <c r="K427" i="5"/>
  <c r="L426" i="5"/>
  <c r="K426" i="5"/>
  <c r="L425" i="5"/>
  <c r="K425" i="5"/>
  <c r="L424" i="5"/>
  <c r="K424" i="5"/>
  <c r="L423" i="5"/>
  <c r="K423" i="5"/>
  <c r="L422" i="5"/>
  <c r="K422" i="5"/>
  <c r="L421" i="5"/>
  <c r="K421" i="5"/>
  <c r="L397" i="5"/>
  <c r="M397" i="5" s="1"/>
  <c r="I397" i="5" s="1"/>
  <c r="L396" i="5"/>
  <c r="M396" i="5" s="1"/>
  <c r="I396" i="5" s="1"/>
  <c r="L395" i="5"/>
  <c r="M395" i="5" s="1"/>
  <c r="I395" i="5" s="1"/>
  <c r="L394" i="5"/>
  <c r="M394" i="5" s="1"/>
  <c r="I394" i="5" s="1"/>
  <c r="L393" i="5"/>
  <c r="M393" i="5" s="1"/>
  <c r="I393" i="5" s="1"/>
  <c r="L392" i="5"/>
  <c r="M392" i="5" s="1"/>
  <c r="I392" i="5" s="1"/>
  <c r="L391" i="5"/>
  <c r="K391" i="5"/>
  <c r="L390" i="5"/>
  <c r="K390" i="5"/>
  <c r="L389" i="5"/>
  <c r="K389" i="5"/>
  <c r="L388" i="5"/>
  <c r="K388" i="5"/>
  <c r="L387" i="5"/>
  <c r="K387" i="5"/>
  <c r="L386" i="5"/>
  <c r="K386" i="5"/>
  <c r="L385" i="5"/>
  <c r="K385" i="5"/>
  <c r="L384" i="5"/>
  <c r="K384" i="5"/>
  <c r="L383" i="5"/>
  <c r="K383" i="5"/>
  <c r="L382" i="5"/>
  <c r="K382" i="5"/>
  <c r="M376" i="5"/>
  <c r="L376" i="5"/>
  <c r="K376" i="5" s="1"/>
  <c r="I358" i="5"/>
  <c r="L354" i="5"/>
  <c r="M354" i="5" s="1"/>
  <c r="I354" i="5" s="1"/>
  <c r="L353" i="5"/>
  <c r="M353" i="5" s="1"/>
  <c r="I353" i="5" s="1"/>
  <c r="M352" i="5"/>
  <c r="I352" i="5" s="1"/>
  <c r="L352" i="5"/>
  <c r="L351" i="5"/>
  <c r="M351" i="5" s="1"/>
  <c r="I351" i="5" s="1"/>
  <c r="L350" i="5"/>
  <c r="M350" i="5" s="1"/>
  <c r="I350" i="5" s="1"/>
  <c r="L349" i="5"/>
  <c r="M349" i="5" s="1"/>
  <c r="I349" i="5" s="1"/>
  <c r="L348" i="5"/>
  <c r="K348" i="5"/>
  <c r="M348" i="5" s="1"/>
  <c r="I348" i="5" s="1"/>
  <c r="L347" i="5"/>
  <c r="K347" i="5"/>
  <c r="L346" i="5"/>
  <c r="K346" i="5"/>
  <c r="L345" i="5"/>
  <c r="K345" i="5"/>
  <c r="M345" i="5" s="1"/>
  <c r="I345" i="5" s="1"/>
  <c r="L344" i="5"/>
  <c r="K344" i="5"/>
  <c r="M344" i="5" s="1"/>
  <c r="I344" i="5" s="1"/>
  <c r="L343" i="5"/>
  <c r="K343" i="5"/>
  <c r="L342" i="5"/>
  <c r="K342" i="5"/>
  <c r="L341" i="5"/>
  <c r="K341" i="5"/>
  <c r="M341" i="5" s="1"/>
  <c r="I341" i="5" s="1"/>
  <c r="L340" i="5"/>
  <c r="K340" i="5"/>
  <c r="M340" i="5" s="1"/>
  <c r="I340" i="5" s="1"/>
  <c r="L339" i="5"/>
  <c r="K339" i="5"/>
  <c r="L315" i="5"/>
  <c r="M315" i="5" s="1"/>
  <c r="I315" i="5" s="1"/>
  <c r="L314" i="5"/>
  <c r="M314" i="5" s="1"/>
  <c r="I314" i="5" s="1"/>
  <c r="L313" i="5"/>
  <c r="M313" i="5" s="1"/>
  <c r="I313" i="5" s="1"/>
  <c r="L312" i="5"/>
  <c r="M312" i="5" s="1"/>
  <c r="I312" i="5" s="1"/>
  <c r="L311" i="5"/>
  <c r="M311" i="5" s="1"/>
  <c r="I311" i="5" s="1"/>
  <c r="L310" i="5"/>
  <c r="M310" i="5" s="1"/>
  <c r="I310" i="5" s="1"/>
  <c r="L309" i="5"/>
  <c r="K309" i="5"/>
  <c r="L308" i="5"/>
  <c r="K308" i="5"/>
  <c r="L307" i="5"/>
  <c r="K307" i="5"/>
  <c r="L306" i="5"/>
  <c r="K306" i="5"/>
  <c r="L305" i="5"/>
  <c r="K305" i="5"/>
  <c r="L304" i="5"/>
  <c r="K304" i="5"/>
  <c r="L303" i="5"/>
  <c r="K303" i="5"/>
  <c r="L302" i="5"/>
  <c r="K302" i="5"/>
  <c r="L301" i="5"/>
  <c r="K301" i="5"/>
  <c r="L300" i="5"/>
  <c r="K300" i="5"/>
  <c r="M300" i="5" s="1"/>
  <c r="M294" i="5"/>
  <c r="L294" i="5"/>
  <c r="K294" i="5" s="1"/>
  <c r="M212" i="5"/>
  <c r="L212" i="5"/>
  <c r="K212" i="5" s="1"/>
  <c r="M347" i="5" l="1"/>
  <c r="I347" i="5" s="1"/>
  <c r="M421" i="5"/>
  <c r="M423" i="5"/>
  <c r="I423" i="5" s="1"/>
  <c r="M182" i="5"/>
  <c r="I182" i="5" s="1"/>
  <c r="M186" i="5"/>
  <c r="I186" i="5" s="1"/>
  <c r="M188" i="5"/>
  <c r="I188" i="5" s="1"/>
  <c r="M190" i="5"/>
  <c r="I190" i="5" s="1"/>
  <c r="M304" i="5"/>
  <c r="I304" i="5" s="1"/>
  <c r="M303" i="5"/>
  <c r="I303" i="5" s="1"/>
  <c r="M305" i="5"/>
  <c r="I305" i="5" s="1"/>
  <c r="M342" i="5"/>
  <c r="I342" i="5" s="1"/>
  <c r="M346" i="5"/>
  <c r="I346" i="5" s="1"/>
  <c r="M422" i="5"/>
  <c r="I422" i="5" s="1"/>
  <c r="M301" i="5"/>
  <c r="I301" i="5" s="1"/>
  <c r="M427" i="5"/>
  <c r="I427" i="5" s="1"/>
  <c r="M184" i="5"/>
  <c r="I184" i="5" s="1"/>
  <c r="M302" i="5"/>
  <c r="I302" i="5" s="1"/>
  <c r="M343" i="5"/>
  <c r="I343" i="5" s="1"/>
  <c r="M428" i="5"/>
  <c r="I428" i="5" s="1"/>
  <c r="M185" i="5"/>
  <c r="I185" i="5" s="1"/>
  <c r="M382" i="5"/>
  <c r="I382" i="5" s="1"/>
  <c r="M384" i="5"/>
  <c r="I384" i="5" s="1"/>
  <c r="M424" i="5"/>
  <c r="I424" i="5" s="1"/>
  <c r="M426" i="5"/>
  <c r="I426" i="5" s="1"/>
  <c r="M386" i="5"/>
  <c r="I386" i="5" s="1"/>
  <c r="M388" i="5"/>
  <c r="I388" i="5" s="1"/>
  <c r="M390" i="5"/>
  <c r="I390" i="5" s="1"/>
  <c r="M425" i="5"/>
  <c r="I425" i="5" s="1"/>
  <c r="M430" i="5"/>
  <c r="I430" i="5" s="1"/>
  <c r="M429" i="5"/>
  <c r="I429" i="5" s="1"/>
  <c r="M383" i="5"/>
  <c r="I383" i="5" s="1"/>
  <c r="M385" i="5"/>
  <c r="I385" i="5" s="1"/>
  <c r="M387" i="5"/>
  <c r="I387" i="5" s="1"/>
  <c r="M389" i="5"/>
  <c r="I389" i="5" s="1"/>
  <c r="M391" i="5"/>
  <c r="I391" i="5" s="1"/>
  <c r="M113" i="5"/>
  <c r="M129" i="5" s="1"/>
  <c r="O129" i="5" s="1"/>
  <c r="M115" i="5"/>
  <c r="I115" i="5" s="1"/>
  <c r="M117" i="5"/>
  <c r="I117" i="5" s="1"/>
  <c r="M119" i="5"/>
  <c r="I119" i="5" s="1"/>
  <c r="M121" i="5"/>
  <c r="I121" i="5" s="1"/>
  <c r="M306" i="5"/>
  <c r="I306" i="5" s="1"/>
  <c r="M308" i="5"/>
  <c r="I308" i="5" s="1"/>
  <c r="M307" i="5"/>
  <c r="I307" i="5" s="1"/>
  <c r="M309" i="5"/>
  <c r="I309" i="5" s="1"/>
  <c r="M339" i="5"/>
  <c r="P67" i="3"/>
  <c r="J11" i="10"/>
  <c r="F11" i="10"/>
  <c r="B8" i="12"/>
  <c r="E26" i="10"/>
  <c r="D7" i="12"/>
  <c r="M78" i="6"/>
  <c r="M12" i="1"/>
  <c r="I181" i="5"/>
  <c r="M197" i="5"/>
  <c r="O197" i="5" s="1"/>
  <c r="I113" i="5"/>
  <c r="M437" i="5"/>
  <c r="L378" i="5"/>
  <c r="I421" i="5"/>
  <c r="M378" i="5"/>
  <c r="O378" i="5" s="1"/>
  <c r="I378" i="5" s="1"/>
  <c r="I300" i="5"/>
  <c r="L296" i="5"/>
  <c r="I339" i="5"/>
  <c r="M296" i="5"/>
  <c r="O296" i="5" s="1"/>
  <c r="I296" i="5" s="1"/>
  <c r="L214" i="5"/>
  <c r="M214" i="5"/>
  <c r="O214" i="5" s="1"/>
  <c r="I214" i="5" s="1"/>
  <c r="R5" i="11"/>
  <c r="G450" i="5"/>
  <c r="F440" i="5"/>
  <c r="G411" i="5"/>
  <c r="G368" i="5"/>
  <c r="F358" i="5"/>
  <c r="F276" i="5"/>
  <c r="L272" i="5"/>
  <c r="M272" i="5" s="1"/>
  <c r="I272" i="5" s="1"/>
  <c r="L271" i="5"/>
  <c r="M271" i="5" s="1"/>
  <c r="I271" i="5" s="1"/>
  <c r="L270" i="5"/>
  <c r="M270" i="5" s="1"/>
  <c r="I270" i="5" s="1"/>
  <c r="L269" i="5"/>
  <c r="M269" i="5" s="1"/>
  <c r="I269" i="5" s="1"/>
  <c r="L268" i="5"/>
  <c r="M268" i="5" s="1"/>
  <c r="I268" i="5" s="1"/>
  <c r="L267" i="5"/>
  <c r="M267" i="5" s="1"/>
  <c r="I267" i="5" s="1"/>
  <c r="L266" i="5"/>
  <c r="K266" i="5"/>
  <c r="L265" i="5"/>
  <c r="K265" i="5"/>
  <c r="L264" i="5"/>
  <c r="K264" i="5"/>
  <c r="L263" i="5"/>
  <c r="K263" i="5"/>
  <c r="L262" i="5"/>
  <c r="K262" i="5"/>
  <c r="L261" i="5"/>
  <c r="K261" i="5"/>
  <c r="L260" i="5"/>
  <c r="K260" i="5"/>
  <c r="L259" i="5"/>
  <c r="K259" i="5"/>
  <c r="L258" i="5"/>
  <c r="K258" i="5"/>
  <c r="L257" i="5"/>
  <c r="K257" i="5"/>
  <c r="L233" i="5"/>
  <c r="M233" i="5" s="1"/>
  <c r="I233" i="5" s="1"/>
  <c r="L232" i="5"/>
  <c r="M232" i="5" s="1"/>
  <c r="I232" i="5" s="1"/>
  <c r="L231" i="5"/>
  <c r="M231" i="5" s="1"/>
  <c r="I231" i="5" s="1"/>
  <c r="L230" i="5"/>
  <c r="M230" i="5" s="1"/>
  <c r="I230" i="5" s="1"/>
  <c r="L229" i="5"/>
  <c r="M229" i="5" s="1"/>
  <c r="L228" i="5"/>
  <c r="M228" i="5" s="1"/>
  <c r="L227" i="5"/>
  <c r="K227" i="5"/>
  <c r="L226" i="5"/>
  <c r="K226" i="5"/>
  <c r="L225" i="5"/>
  <c r="K225" i="5"/>
  <c r="L224" i="5"/>
  <c r="K224" i="5"/>
  <c r="L223" i="5"/>
  <c r="K223" i="5"/>
  <c r="L222" i="5"/>
  <c r="K222" i="5"/>
  <c r="L221" i="5"/>
  <c r="K221" i="5"/>
  <c r="L220" i="5"/>
  <c r="K220" i="5"/>
  <c r="L219" i="5"/>
  <c r="K219" i="5"/>
  <c r="L218" i="5"/>
  <c r="K218" i="5"/>
  <c r="G204" i="5"/>
  <c r="G171" i="5"/>
  <c r="L163" i="5"/>
  <c r="M163" i="5" s="1"/>
  <c r="I163" i="5" s="1"/>
  <c r="L162" i="5"/>
  <c r="M162" i="5" s="1"/>
  <c r="I162" i="5" s="1"/>
  <c r="L161" i="5"/>
  <c r="M161" i="5" s="1"/>
  <c r="I161" i="5" s="1"/>
  <c r="L160" i="5"/>
  <c r="M160" i="5" s="1"/>
  <c r="I160" i="5" s="1"/>
  <c r="L159" i="5"/>
  <c r="M159" i="5" s="1"/>
  <c r="I159" i="5" s="1"/>
  <c r="L158" i="5"/>
  <c r="M158" i="5" s="1"/>
  <c r="L157" i="5"/>
  <c r="K157" i="5"/>
  <c r="L156" i="5"/>
  <c r="K156" i="5"/>
  <c r="L155" i="5"/>
  <c r="K155" i="5"/>
  <c r="L154" i="5"/>
  <c r="K154" i="5"/>
  <c r="L153" i="5"/>
  <c r="K153" i="5"/>
  <c r="L152" i="5"/>
  <c r="K152" i="5"/>
  <c r="L151" i="5"/>
  <c r="K151" i="5"/>
  <c r="L150" i="5"/>
  <c r="K150" i="5"/>
  <c r="L149" i="5"/>
  <c r="K149" i="5"/>
  <c r="L148" i="5"/>
  <c r="K148" i="5"/>
  <c r="L95" i="5"/>
  <c r="M95" i="5" s="1"/>
  <c r="I95" i="5" s="1"/>
  <c r="L94" i="5"/>
  <c r="M94" i="5" s="1"/>
  <c r="I94" i="5" s="1"/>
  <c r="L93" i="5"/>
  <c r="M93" i="5" s="1"/>
  <c r="I93" i="5" s="1"/>
  <c r="L92" i="5"/>
  <c r="M92" i="5" s="1"/>
  <c r="I92" i="5" s="1"/>
  <c r="L91" i="5"/>
  <c r="M91" i="5" s="1"/>
  <c r="I91" i="5" s="1"/>
  <c r="L90" i="5"/>
  <c r="M90" i="5" s="1"/>
  <c r="I90" i="5" s="1"/>
  <c r="L89" i="5"/>
  <c r="K89" i="5"/>
  <c r="L88" i="5"/>
  <c r="K88" i="5"/>
  <c r="L87" i="5"/>
  <c r="K87" i="5"/>
  <c r="L86" i="5"/>
  <c r="K86" i="5"/>
  <c r="L85" i="5"/>
  <c r="K85" i="5"/>
  <c r="L84" i="5"/>
  <c r="K84" i="5"/>
  <c r="L83" i="5"/>
  <c r="K83" i="5"/>
  <c r="L82" i="5"/>
  <c r="K82" i="5"/>
  <c r="L81" i="5"/>
  <c r="K81" i="5"/>
  <c r="L80" i="5"/>
  <c r="K80" i="5"/>
  <c r="L60" i="5"/>
  <c r="M60" i="5" s="1"/>
  <c r="I60" i="5" s="1"/>
  <c r="L59" i="5"/>
  <c r="M59" i="5" s="1"/>
  <c r="I59" i="5" s="1"/>
  <c r="L58" i="5"/>
  <c r="M58" i="5" s="1"/>
  <c r="I58" i="5" s="1"/>
  <c r="L57" i="5"/>
  <c r="M57" i="5" s="1"/>
  <c r="I57" i="5" s="1"/>
  <c r="L56" i="5"/>
  <c r="M56" i="5" s="1"/>
  <c r="I56" i="5" s="1"/>
  <c r="L55" i="5"/>
  <c r="M55" i="5" s="1"/>
  <c r="L54" i="5"/>
  <c r="K54" i="5"/>
  <c r="L53" i="5"/>
  <c r="K53" i="5"/>
  <c r="L52" i="5"/>
  <c r="K52" i="5"/>
  <c r="L51" i="5"/>
  <c r="K51" i="5"/>
  <c r="L50" i="5"/>
  <c r="K50" i="5"/>
  <c r="L49" i="5"/>
  <c r="K49" i="5"/>
  <c r="L48" i="5"/>
  <c r="K48" i="5"/>
  <c r="L47" i="5"/>
  <c r="K47" i="5"/>
  <c r="L46" i="5"/>
  <c r="K46" i="5"/>
  <c r="L45" i="5"/>
  <c r="K45" i="5"/>
  <c r="L22" i="5"/>
  <c r="M22" i="5" s="1"/>
  <c r="I22" i="5" s="1"/>
  <c r="L23" i="5"/>
  <c r="M23" i="5" s="1"/>
  <c r="I23" i="5" s="1"/>
  <c r="L24" i="5"/>
  <c r="M24" i="5" s="1"/>
  <c r="I24" i="5" s="1"/>
  <c r="L25" i="5"/>
  <c r="M25" i="5" s="1"/>
  <c r="I25" i="5" s="1"/>
  <c r="L26" i="5"/>
  <c r="M26" i="5" s="1"/>
  <c r="I26" i="5" s="1"/>
  <c r="L27" i="5"/>
  <c r="M27" i="5" s="1"/>
  <c r="I27" i="5" s="1"/>
  <c r="L13" i="5"/>
  <c r="L14" i="5"/>
  <c r="L15" i="5"/>
  <c r="L16" i="5"/>
  <c r="L17" i="5"/>
  <c r="L18" i="5"/>
  <c r="L19" i="5"/>
  <c r="L20" i="5"/>
  <c r="L21" i="5"/>
  <c r="L12" i="5"/>
  <c r="K13" i="5"/>
  <c r="K14" i="5"/>
  <c r="K15" i="5"/>
  <c r="K16" i="5"/>
  <c r="K17" i="5"/>
  <c r="K18" i="5"/>
  <c r="K19" i="5"/>
  <c r="K20" i="5"/>
  <c r="K21" i="5"/>
  <c r="K12" i="5"/>
  <c r="G35" i="5"/>
  <c r="G103" i="5"/>
  <c r="G136" i="5"/>
  <c r="M316" i="5" l="1"/>
  <c r="M355" i="5"/>
  <c r="O355" i="5" s="1"/>
  <c r="G443" i="5"/>
  <c r="G404" i="5"/>
  <c r="G454" i="5"/>
  <c r="G415" i="5"/>
  <c r="G333" i="5"/>
  <c r="G322" i="5"/>
  <c r="M398" i="5"/>
  <c r="O398" i="5" s="1"/>
  <c r="I158" i="5"/>
  <c r="O437" i="5"/>
  <c r="O316" i="5"/>
  <c r="I229" i="5"/>
  <c r="M257" i="5"/>
  <c r="M258" i="5"/>
  <c r="I258" i="5" s="1"/>
  <c r="M266" i="5"/>
  <c r="I266" i="5" s="1"/>
  <c r="M264" i="5"/>
  <c r="I264" i="5" s="1"/>
  <c r="M265" i="5"/>
  <c r="I265" i="5" s="1"/>
  <c r="M259" i="5"/>
  <c r="I259" i="5" s="1"/>
  <c r="M260" i="5"/>
  <c r="I260" i="5" s="1"/>
  <c r="M219" i="5"/>
  <c r="I219" i="5" s="1"/>
  <c r="M261" i="5"/>
  <c r="I261" i="5" s="1"/>
  <c r="M262" i="5"/>
  <c r="I262" i="5" s="1"/>
  <c r="M263" i="5"/>
  <c r="I263" i="5" s="1"/>
  <c r="M15" i="5"/>
  <c r="I15" i="5" s="1"/>
  <c r="M220" i="5"/>
  <c r="I220" i="5" s="1"/>
  <c r="M222" i="5"/>
  <c r="I222" i="5" s="1"/>
  <c r="M224" i="5"/>
  <c r="I224" i="5" s="1"/>
  <c r="M226" i="5"/>
  <c r="I226" i="5" s="1"/>
  <c r="M221" i="5"/>
  <c r="I221" i="5" s="1"/>
  <c r="M223" i="5"/>
  <c r="I223" i="5" s="1"/>
  <c r="M225" i="5"/>
  <c r="I225" i="5" s="1"/>
  <c r="M227" i="5"/>
  <c r="I227" i="5" s="1"/>
  <c r="M218" i="5"/>
  <c r="I218" i="5" s="1"/>
  <c r="I228" i="5"/>
  <c r="M20" i="5"/>
  <c r="I20" i="5" s="1"/>
  <c r="M16" i="5"/>
  <c r="I16" i="5" s="1"/>
  <c r="M81" i="5"/>
  <c r="I81" i="5" s="1"/>
  <c r="M83" i="5"/>
  <c r="I83" i="5" s="1"/>
  <c r="M85" i="5"/>
  <c r="I85" i="5" s="1"/>
  <c r="M87" i="5"/>
  <c r="I87" i="5" s="1"/>
  <c r="M149" i="5"/>
  <c r="I149" i="5" s="1"/>
  <c r="M151" i="5"/>
  <c r="I151" i="5" s="1"/>
  <c r="M153" i="5"/>
  <c r="I153" i="5" s="1"/>
  <c r="M155" i="5"/>
  <c r="I155" i="5" s="1"/>
  <c r="M157" i="5"/>
  <c r="I157" i="5" s="1"/>
  <c r="M18" i="5"/>
  <c r="I18" i="5" s="1"/>
  <c r="M14" i="5"/>
  <c r="I14" i="5" s="1"/>
  <c r="M52" i="5"/>
  <c r="I52" i="5" s="1"/>
  <c r="M54" i="5"/>
  <c r="I54" i="5" s="1"/>
  <c r="M45" i="5"/>
  <c r="I45" i="5" s="1"/>
  <c r="M47" i="5"/>
  <c r="I47" i="5" s="1"/>
  <c r="M49" i="5"/>
  <c r="I49" i="5" s="1"/>
  <c r="M51" i="5"/>
  <c r="I51" i="5" s="1"/>
  <c r="M88" i="5"/>
  <c r="I88" i="5" s="1"/>
  <c r="M150" i="5"/>
  <c r="I150" i="5" s="1"/>
  <c r="M152" i="5"/>
  <c r="I152" i="5" s="1"/>
  <c r="M154" i="5"/>
  <c r="I154" i="5" s="1"/>
  <c r="M156" i="5"/>
  <c r="I156" i="5" s="1"/>
  <c r="M148" i="5"/>
  <c r="M19" i="5"/>
  <c r="I19" i="5" s="1"/>
  <c r="M53" i="5"/>
  <c r="I53" i="5" s="1"/>
  <c r="M80" i="5"/>
  <c r="M82" i="5"/>
  <c r="I82" i="5" s="1"/>
  <c r="M84" i="5"/>
  <c r="I84" i="5" s="1"/>
  <c r="M86" i="5"/>
  <c r="I86" i="5" s="1"/>
  <c r="M17" i="5"/>
  <c r="I17" i="5" s="1"/>
  <c r="M89" i="5"/>
  <c r="I89" i="5" s="1"/>
  <c r="M21" i="5"/>
  <c r="I21" i="5" s="1"/>
  <c r="M13" i="5"/>
  <c r="I13" i="5" s="1"/>
  <c r="M46" i="5"/>
  <c r="I46" i="5" s="1"/>
  <c r="M48" i="5"/>
  <c r="I48" i="5" s="1"/>
  <c r="M50" i="5"/>
  <c r="I50" i="5" s="1"/>
  <c r="I55" i="5"/>
  <c r="M12" i="5"/>
  <c r="I12" i="5" s="1"/>
  <c r="G1" i="10"/>
  <c r="Q61" i="3"/>
  <c r="Q39" i="3"/>
  <c r="BD32" i="6"/>
  <c r="AQ32" i="6" s="1"/>
  <c r="P88" i="3"/>
  <c r="A93" i="3" s="1"/>
  <c r="P61" i="3"/>
  <c r="P39" i="3"/>
  <c r="A45" i="3" s="1"/>
  <c r="L20" i="3"/>
  <c r="J20" i="3"/>
  <c r="H20" i="3"/>
  <c r="P10" i="3"/>
  <c r="L1" i="3"/>
  <c r="L1" i="11"/>
  <c r="H1" i="5"/>
  <c r="J1" i="1"/>
  <c r="P12" i="11"/>
  <c r="P13" i="11"/>
  <c r="K61" i="11" s="1"/>
  <c r="P14" i="11"/>
  <c r="H67" i="11" s="1"/>
  <c r="P15" i="11"/>
  <c r="I73" i="11" s="1"/>
  <c r="P16" i="11"/>
  <c r="P17" i="11"/>
  <c r="P18" i="11"/>
  <c r="P19" i="11"/>
  <c r="P20" i="11"/>
  <c r="P21" i="11"/>
  <c r="P22" i="11"/>
  <c r="P23" i="11"/>
  <c r="P24" i="11"/>
  <c r="P25" i="11"/>
  <c r="P26" i="11"/>
  <c r="P27" i="11"/>
  <c r="P28" i="11"/>
  <c r="P29" i="11"/>
  <c r="P30" i="11"/>
  <c r="I79" i="11" s="1"/>
  <c r="P11" i="11"/>
  <c r="H61" i="11" s="1"/>
  <c r="P5" i="11"/>
  <c r="B51" i="1"/>
  <c r="B58" i="1"/>
  <c r="B50" i="1"/>
  <c r="B41" i="1"/>
  <c r="G329" i="5"/>
  <c r="F214" i="5"/>
  <c r="M164" i="5" l="1"/>
  <c r="O164" i="5" s="1"/>
  <c r="B50" i="3"/>
  <c r="D10" i="3"/>
  <c r="A12" i="3"/>
  <c r="M96" i="5"/>
  <c r="O96" i="5" s="1"/>
  <c r="F92" i="12"/>
  <c r="F28" i="12" s="1"/>
  <c r="F73" i="12"/>
  <c r="G73" i="12"/>
  <c r="G92" i="12"/>
  <c r="G28" i="12" s="1"/>
  <c r="E92" i="12"/>
  <c r="E28" i="12" s="1"/>
  <c r="E73" i="12"/>
  <c r="F7" i="12"/>
  <c r="I5" i="11"/>
  <c r="T5" i="11"/>
  <c r="R14" i="11"/>
  <c r="T14" i="11" s="1"/>
  <c r="N14" i="11" s="1"/>
  <c r="R18" i="11"/>
  <c r="T18" i="11" s="1"/>
  <c r="N18" i="11" s="1"/>
  <c r="R22" i="11"/>
  <c r="T22" i="11" s="1"/>
  <c r="N22" i="11" s="1"/>
  <c r="R26" i="11"/>
  <c r="T26" i="11" s="1"/>
  <c r="N26" i="11" s="1"/>
  <c r="R30" i="11"/>
  <c r="T30" i="11" s="1"/>
  <c r="N30" i="11" s="1"/>
  <c r="R34" i="11"/>
  <c r="T34" i="11" s="1"/>
  <c r="N34" i="11" s="1"/>
  <c r="R21" i="11"/>
  <c r="T21" i="11" s="1"/>
  <c r="N21" i="11" s="1"/>
  <c r="R15" i="11"/>
  <c r="T15" i="11" s="1"/>
  <c r="N15" i="11" s="1"/>
  <c r="R19" i="11"/>
  <c r="T19" i="11" s="1"/>
  <c r="N19" i="11" s="1"/>
  <c r="R23" i="11"/>
  <c r="T23" i="11" s="1"/>
  <c r="N23" i="11" s="1"/>
  <c r="R27" i="11"/>
  <c r="T27" i="11" s="1"/>
  <c r="N27" i="11" s="1"/>
  <c r="R31" i="11"/>
  <c r="T31" i="11" s="1"/>
  <c r="N31" i="11" s="1"/>
  <c r="R35" i="11"/>
  <c r="T35" i="11" s="1"/>
  <c r="N35" i="11" s="1"/>
  <c r="R17" i="11"/>
  <c r="T17" i="11" s="1"/>
  <c r="N17" i="11" s="1"/>
  <c r="R33" i="11"/>
  <c r="T33" i="11" s="1"/>
  <c r="N33" i="11" s="1"/>
  <c r="R12" i="11"/>
  <c r="T12" i="11" s="1"/>
  <c r="N12" i="11" s="1"/>
  <c r="R16" i="11"/>
  <c r="T16" i="11" s="1"/>
  <c r="N16" i="11" s="1"/>
  <c r="R20" i="11"/>
  <c r="T20" i="11" s="1"/>
  <c r="N20" i="11" s="1"/>
  <c r="R24" i="11"/>
  <c r="T24" i="11" s="1"/>
  <c r="N24" i="11" s="1"/>
  <c r="R28" i="11"/>
  <c r="T28" i="11" s="1"/>
  <c r="N28" i="11" s="1"/>
  <c r="R32" i="11"/>
  <c r="T32" i="11" s="1"/>
  <c r="N32" i="11" s="1"/>
  <c r="R36" i="11"/>
  <c r="T36" i="11" s="1"/>
  <c r="N36" i="11" s="1"/>
  <c r="R13" i="11"/>
  <c r="T13" i="11" s="1"/>
  <c r="N13" i="11" s="1"/>
  <c r="R25" i="11"/>
  <c r="T25" i="11" s="1"/>
  <c r="N25" i="11" s="1"/>
  <c r="R29" i="11"/>
  <c r="T29" i="11" s="1"/>
  <c r="N29" i="11" s="1"/>
  <c r="S39" i="3"/>
  <c r="D61" i="3"/>
  <c r="S61" i="3"/>
  <c r="A90" i="3"/>
  <c r="P90" i="3"/>
  <c r="M234" i="5"/>
  <c r="I257" i="5"/>
  <c r="M273" i="5"/>
  <c r="O273" i="5" s="1"/>
  <c r="F378" i="5"/>
  <c r="E53" i="12"/>
  <c r="E39" i="12"/>
  <c r="F53" i="12"/>
  <c r="F39" i="12"/>
  <c r="G53" i="12"/>
  <c r="G39" i="12"/>
  <c r="F39" i="3"/>
  <c r="I74" i="11"/>
  <c r="I75" i="11" s="1"/>
  <c r="I80" i="11"/>
  <c r="I81" i="11" s="1"/>
  <c r="R51" i="11"/>
  <c r="R63" i="11"/>
  <c r="R81" i="11"/>
  <c r="R57" i="11"/>
  <c r="R69" i="11"/>
  <c r="R75" i="11"/>
  <c r="G61" i="11"/>
  <c r="I148" i="5"/>
  <c r="M61" i="5"/>
  <c r="O61" i="5" s="1"/>
  <c r="I80" i="5"/>
  <c r="M28" i="5"/>
  <c r="O28" i="5" s="1"/>
  <c r="A52" i="1"/>
  <c r="F296" i="5"/>
  <c r="L73" i="11"/>
  <c r="H73" i="11"/>
  <c r="G73" i="11"/>
  <c r="J73" i="11"/>
  <c r="K73" i="11"/>
  <c r="H79" i="11"/>
  <c r="H80" i="11" s="1"/>
  <c r="K79" i="11"/>
  <c r="G79" i="11"/>
  <c r="J79" i="11"/>
  <c r="L79" i="11"/>
  <c r="J61" i="11"/>
  <c r="L61" i="11"/>
  <c r="L62" i="11" s="1"/>
  <c r="I61" i="11"/>
  <c r="I67" i="11"/>
  <c r="K67" i="11"/>
  <c r="L67" i="11"/>
  <c r="J67" i="11"/>
  <c r="G67" i="11"/>
  <c r="J55" i="11"/>
  <c r="I55" i="11"/>
  <c r="H55" i="11"/>
  <c r="G55" i="11"/>
  <c r="L55" i="11"/>
  <c r="K55" i="11"/>
  <c r="J49" i="11"/>
  <c r="L39" i="11"/>
  <c r="H39" i="11"/>
  <c r="K39" i="11"/>
  <c r="J39" i="11"/>
  <c r="I39" i="11"/>
  <c r="G39" i="11"/>
  <c r="K37" i="11"/>
  <c r="A53" i="1"/>
  <c r="A42" i="3"/>
  <c r="A43" i="3"/>
  <c r="A44" i="3"/>
  <c r="G49" i="11"/>
  <c r="J37" i="11"/>
  <c r="G37" i="11"/>
  <c r="I37" i="11"/>
  <c r="L37" i="11"/>
  <c r="H37" i="11"/>
  <c r="K49" i="11"/>
  <c r="L49" i="11"/>
  <c r="I49" i="11"/>
  <c r="H49" i="11"/>
  <c r="K62" i="11"/>
  <c r="H68" i="11"/>
  <c r="H69" i="11" s="1"/>
  <c r="H62" i="11"/>
  <c r="H63" i="11" s="1"/>
  <c r="B104" i="12" l="1"/>
  <c r="B56" i="3"/>
  <c r="A17" i="10"/>
  <c r="Q90" i="3"/>
  <c r="C10" i="10" s="1"/>
  <c r="I74" i="12" s="1"/>
  <c r="C17" i="10"/>
  <c r="D5" i="1"/>
  <c r="P38" i="11"/>
  <c r="B102" i="12" s="1"/>
  <c r="D6" i="1"/>
  <c r="P37" i="11"/>
  <c r="B100" i="12" s="1"/>
  <c r="F6" i="1"/>
  <c r="Q37" i="11"/>
  <c r="B101" i="12" s="1"/>
  <c r="F5" i="1"/>
  <c r="Q38" i="11"/>
  <c r="B103" i="12" s="1"/>
  <c r="O234" i="5"/>
  <c r="G234" i="5"/>
  <c r="S50" i="3"/>
  <c r="D50" i="3" s="1"/>
  <c r="H50" i="3"/>
  <c r="H90" i="3"/>
  <c r="S90" i="3"/>
  <c r="G273" i="5"/>
  <c r="F197" i="5"/>
  <c r="Q197" i="5" s="1"/>
  <c r="F164" i="5"/>
  <c r="F129" i="5"/>
  <c r="Q129" i="5" s="1"/>
  <c r="G437" i="5"/>
  <c r="G452" i="5" s="1"/>
  <c r="F454" i="5" s="1"/>
  <c r="F437" i="5"/>
  <c r="F273" i="5"/>
  <c r="G398" i="5"/>
  <c r="F398" i="5"/>
  <c r="G197" i="5"/>
  <c r="G206" i="5" s="1"/>
  <c r="F208" i="5" s="1"/>
  <c r="D30" i="12" s="1"/>
  <c r="G316" i="5"/>
  <c r="G331" i="5" s="1"/>
  <c r="F316" i="5"/>
  <c r="G74" i="11"/>
  <c r="G240" i="5"/>
  <c r="G290" i="5"/>
  <c r="G279" i="5"/>
  <c r="G68" i="11"/>
  <c r="H74" i="11"/>
  <c r="H75" i="11" s="1"/>
  <c r="G62" i="11"/>
  <c r="I68" i="11"/>
  <c r="I69" i="11" s="1"/>
  <c r="I62" i="11"/>
  <c r="I63" i="11" s="1"/>
  <c r="J62" i="11"/>
  <c r="J63" i="11" s="1"/>
  <c r="J80" i="11"/>
  <c r="J81" i="11" s="1"/>
  <c r="J68" i="11"/>
  <c r="J69" i="11" s="1"/>
  <c r="G80" i="11"/>
  <c r="H81" i="11"/>
  <c r="J74" i="11"/>
  <c r="J75" i="11" s="1"/>
  <c r="L63" i="11"/>
  <c r="K63" i="11"/>
  <c r="K68" i="11"/>
  <c r="K69" i="11" s="1"/>
  <c r="K80" i="11"/>
  <c r="K81" i="11" s="1"/>
  <c r="L80" i="11"/>
  <c r="L81" i="11" s="1"/>
  <c r="L56" i="11"/>
  <c r="L57" i="11" s="1"/>
  <c r="K74" i="11"/>
  <c r="L74" i="11"/>
  <c r="L75" i="11" s="1"/>
  <c r="L68" i="11"/>
  <c r="L69" i="11" s="1"/>
  <c r="G50" i="11"/>
  <c r="G51" i="11" s="1"/>
  <c r="I56" i="11"/>
  <c r="I57" i="11" s="1"/>
  <c r="J56" i="11"/>
  <c r="J57" i="11" s="1"/>
  <c r="I50" i="11"/>
  <c r="I51" i="11" s="1"/>
  <c r="G56" i="11"/>
  <c r="K56" i="11"/>
  <c r="H50" i="11"/>
  <c r="H51" i="11" s="1"/>
  <c r="J50" i="11"/>
  <c r="J51" i="11" s="1"/>
  <c r="H56" i="11"/>
  <c r="H57" i="11" s="1"/>
  <c r="K50" i="11"/>
  <c r="K51" i="11" s="1"/>
  <c r="L50" i="11"/>
  <c r="L51" i="11" s="1"/>
  <c r="F234" i="5"/>
  <c r="G251" i="5"/>
  <c r="G129" i="5"/>
  <c r="G138" i="5" s="1"/>
  <c r="F140" i="5" s="1"/>
  <c r="C30" i="12" s="1"/>
  <c r="G164" i="5"/>
  <c r="G173" i="5" s="1"/>
  <c r="F96" i="5"/>
  <c r="G96" i="5"/>
  <c r="G105" i="5" s="1"/>
  <c r="F61" i="5"/>
  <c r="G61" i="5"/>
  <c r="G70" i="5" s="1"/>
  <c r="F28" i="5"/>
  <c r="G28" i="5"/>
  <c r="G37" i="5" s="1"/>
  <c r="A44" i="1"/>
  <c r="A45" i="1"/>
  <c r="B59" i="1"/>
  <c r="A60" i="1"/>
  <c r="A61" i="1"/>
  <c r="B43" i="1"/>
  <c r="BE45" i="6"/>
  <c r="BE40" i="6"/>
  <c r="BE32" i="6"/>
  <c r="BE29" i="6"/>
  <c r="BD40" i="6"/>
  <c r="AQ40" i="6" s="1"/>
  <c r="BD25" i="6"/>
  <c r="AQ25" i="6" s="1"/>
  <c r="BD6" i="6"/>
  <c r="BD23" i="6"/>
  <c r="AQ23" i="6" s="1"/>
  <c r="BD45" i="6"/>
  <c r="BD29" i="6"/>
  <c r="AQ29" i="6" s="1"/>
  <c r="BD85" i="6"/>
  <c r="AQ85" i="6" s="1"/>
  <c r="BD97" i="6"/>
  <c r="AQ97" i="6" s="1"/>
  <c r="BD99" i="6"/>
  <c r="AQ99" i="6" s="1"/>
  <c r="BD94" i="6"/>
  <c r="AQ94" i="6" s="1"/>
  <c r="BD92" i="6"/>
  <c r="AQ92" i="6" s="1"/>
  <c r="BD89" i="6"/>
  <c r="AQ89" i="6" s="1"/>
  <c r="BD87" i="6"/>
  <c r="AQ87" i="6" s="1"/>
  <c r="G286" i="5"/>
  <c r="G247" i="5"/>
  <c r="L398" i="5" l="1"/>
  <c r="F47" i="6"/>
  <c r="F333" i="5"/>
  <c r="P62" i="11"/>
  <c r="P60" i="11" s="1"/>
  <c r="G81" i="11"/>
  <c r="P81" i="11" s="1"/>
  <c r="P80" i="11"/>
  <c r="G75" i="11"/>
  <c r="P74" i="11"/>
  <c r="G57" i="11"/>
  <c r="P56" i="11"/>
  <c r="G69" i="11"/>
  <c r="P69" i="11" s="1"/>
  <c r="P68" i="11"/>
  <c r="P66" i="11" s="1"/>
  <c r="C31" i="12"/>
  <c r="Q96" i="5"/>
  <c r="Q164" i="5"/>
  <c r="D31" i="12"/>
  <c r="Q28" i="5"/>
  <c r="B31" i="12"/>
  <c r="Q69" i="11"/>
  <c r="P234" i="5"/>
  <c r="L316" i="5"/>
  <c r="F19" i="1"/>
  <c r="B24" i="3" s="1"/>
  <c r="B27" i="3" s="1"/>
  <c r="Q61" i="5"/>
  <c r="F33" i="1"/>
  <c r="F24" i="3" s="1"/>
  <c r="F27" i="3" s="1"/>
  <c r="P197" i="5"/>
  <c r="I197" i="5" s="1"/>
  <c r="D33" i="1"/>
  <c r="P164" i="5"/>
  <c r="I164" i="5" s="1"/>
  <c r="F175" i="5"/>
  <c r="F26" i="1"/>
  <c r="D24" i="3" s="1"/>
  <c r="D27" i="3" s="1"/>
  <c r="P129" i="5"/>
  <c r="I129" i="5" s="1"/>
  <c r="D26" i="1"/>
  <c r="P96" i="5"/>
  <c r="I96" i="5" s="1"/>
  <c r="D19" i="1"/>
  <c r="P28" i="5"/>
  <c r="I28" i="5" s="1"/>
  <c r="P61" i="5"/>
  <c r="I61" i="5" s="1"/>
  <c r="K401" i="5"/>
  <c r="L401" i="5" s="1"/>
  <c r="K403" i="5"/>
  <c r="L403" i="5" s="1"/>
  <c r="P437" i="5"/>
  <c r="P398" i="5"/>
  <c r="N376" i="5"/>
  <c r="O376" i="5" s="1"/>
  <c r="L437" i="5"/>
  <c r="G288" i="5"/>
  <c r="F290" i="5" s="1"/>
  <c r="P273" i="5"/>
  <c r="N212" i="5"/>
  <c r="O212" i="5" s="1"/>
  <c r="L273" i="5"/>
  <c r="K278" i="5" s="1"/>
  <c r="F441" i="5"/>
  <c r="L234" i="5"/>
  <c r="K239" i="5" s="1"/>
  <c r="L239" i="5" s="1"/>
  <c r="AQ6" i="6"/>
  <c r="Q75" i="11"/>
  <c r="Q63" i="11"/>
  <c r="F277" i="5"/>
  <c r="G413" i="5"/>
  <c r="F415" i="5" s="1"/>
  <c r="F402" i="5"/>
  <c r="F320" i="5"/>
  <c r="G249" i="5"/>
  <c r="F251" i="5" s="1"/>
  <c r="G63" i="11"/>
  <c r="P63" i="11" s="1"/>
  <c r="Q57" i="11"/>
  <c r="Q81" i="11"/>
  <c r="Q51" i="11"/>
  <c r="P51" i="11"/>
  <c r="K57" i="11"/>
  <c r="K75" i="11"/>
  <c r="P50" i="11"/>
  <c r="I276" i="5"/>
  <c r="F107" i="5"/>
  <c r="P66" i="3"/>
  <c r="B66" i="3" s="1"/>
  <c r="M11" i="1"/>
  <c r="B11" i="1" s="1"/>
  <c r="BE43" i="6"/>
  <c r="F238" i="5"/>
  <c r="F25" i="1"/>
  <c r="AQ45" i="6"/>
  <c r="B47" i="6"/>
  <c r="BD43" i="6"/>
  <c r="F43" i="6" s="1"/>
  <c r="F32" i="1"/>
  <c r="F39" i="5"/>
  <c r="F72" i="5"/>
  <c r="N69" i="11" l="1"/>
  <c r="P57" i="11"/>
  <c r="N57" i="11" s="1"/>
  <c r="P75" i="11"/>
  <c r="Q48" i="11"/>
  <c r="P48" i="11"/>
  <c r="Q78" i="11"/>
  <c r="P78" i="11"/>
  <c r="Q54" i="11"/>
  <c r="P54" i="11"/>
  <c r="Q72" i="11"/>
  <c r="P72" i="11"/>
  <c r="D25" i="1"/>
  <c r="C29" i="12"/>
  <c r="K442" i="5"/>
  <c r="L442" i="5" s="1"/>
  <c r="L443" i="5" s="1"/>
  <c r="D32" i="1"/>
  <c r="D29" i="12"/>
  <c r="F18" i="1"/>
  <c r="B30" i="12"/>
  <c r="D18" i="1"/>
  <c r="B29" i="12"/>
  <c r="N81" i="11"/>
  <c r="N63" i="11"/>
  <c r="K321" i="5"/>
  <c r="L321" i="5" s="1"/>
  <c r="K319" i="5"/>
  <c r="L319" i="5" s="1"/>
  <c r="N51" i="11"/>
  <c r="Q60" i="11"/>
  <c r="R60" i="11" s="1"/>
  <c r="N75" i="11"/>
  <c r="L404" i="5"/>
  <c r="P404" i="5" s="1"/>
  <c r="P399" i="5"/>
  <c r="P400" i="5" s="1"/>
  <c r="I398" i="5" s="1"/>
  <c r="I376" i="5"/>
  <c r="P438" i="5"/>
  <c r="P274" i="5"/>
  <c r="P235" i="5"/>
  <c r="I212" i="5"/>
  <c r="L278" i="5"/>
  <c r="L279" i="5" s="1"/>
  <c r="P279" i="5" s="1"/>
  <c r="Q66" i="11"/>
  <c r="R66" i="11" s="1"/>
  <c r="K237" i="5"/>
  <c r="L237" i="5" s="1"/>
  <c r="P65" i="3"/>
  <c r="M10" i="1"/>
  <c r="B43" i="6"/>
  <c r="H1000" i="9"/>
  <c r="H1001" i="9"/>
  <c r="H1002" i="9"/>
  <c r="H1003" i="9"/>
  <c r="H1004" i="9"/>
  <c r="H1005" i="9"/>
  <c r="H1006" i="9"/>
  <c r="H1007" i="9"/>
  <c r="H1008" i="9"/>
  <c r="H1009" i="9"/>
  <c r="H1010" i="9"/>
  <c r="H1011" i="9"/>
  <c r="H1012" i="9"/>
  <c r="H1013" i="9"/>
  <c r="H1014" i="9"/>
  <c r="H1015" i="9"/>
  <c r="H1016" i="9"/>
  <c r="H1017" i="9"/>
  <c r="H1018" i="9"/>
  <c r="H1019" i="9"/>
  <c r="H1020" i="9"/>
  <c r="H1021" i="9"/>
  <c r="H1022" i="9"/>
  <c r="H1023" i="9"/>
  <c r="H1024" i="9"/>
  <c r="H1025" i="9"/>
  <c r="H1026" i="9"/>
  <c r="H1027" i="9"/>
  <c r="H1028" i="9"/>
  <c r="H1029" i="9"/>
  <c r="H1030" i="9"/>
  <c r="H1031" i="9"/>
  <c r="H1032" i="9"/>
  <c r="H1033" i="9"/>
  <c r="H1034" i="9"/>
  <c r="H1035" i="9"/>
  <c r="H1036" i="9"/>
  <c r="H1037" i="9"/>
  <c r="H1038" i="9"/>
  <c r="H1039" i="9"/>
  <c r="H1040" i="9"/>
  <c r="H1041" i="9"/>
  <c r="H1042" i="9"/>
  <c r="H1043" i="9"/>
  <c r="H1044" i="9"/>
  <c r="H1045" i="9"/>
  <c r="H1046" i="9"/>
  <c r="H1047" i="9"/>
  <c r="H1048" i="9"/>
  <c r="H1049" i="9"/>
  <c r="H1050" i="9"/>
  <c r="H1051" i="9"/>
  <c r="H1052" i="9"/>
  <c r="H1053" i="9"/>
  <c r="H1054" i="9"/>
  <c r="H1055" i="9"/>
  <c r="H1056" i="9"/>
  <c r="H1057" i="9"/>
  <c r="H1058" i="9"/>
  <c r="H1059" i="9"/>
  <c r="H1060" i="9"/>
  <c r="H1061" i="9"/>
  <c r="H1062" i="9"/>
  <c r="H1063" i="9"/>
  <c r="H1064" i="9"/>
  <c r="H1065" i="9"/>
  <c r="H1066" i="9"/>
  <c r="H1067" i="9"/>
  <c r="H1068" i="9"/>
  <c r="H1069" i="9"/>
  <c r="H1070" i="9"/>
  <c r="H1071" i="9"/>
  <c r="H1072" i="9"/>
  <c r="H1073" i="9"/>
  <c r="H1074" i="9"/>
  <c r="H1075" i="9"/>
  <c r="H1076" i="9"/>
  <c r="H1077" i="9"/>
  <c r="H1078" i="9"/>
  <c r="H1079" i="9"/>
  <c r="H1080" i="9"/>
  <c r="H1081" i="9"/>
  <c r="H1082" i="9"/>
  <c r="H1083" i="9"/>
  <c r="H1084" i="9"/>
  <c r="H1085" i="9"/>
  <c r="H1086" i="9"/>
  <c r="H1087" i="9"/>
  <c r="H1088" i="9"/>
  <c r="H1089" i="9"/>
  <c r="H1090" i="9"/>
  <c r="H1091" i="9"/>
  <c r="H1092" i="9"/>
  <c r="H1093" i="9"/>
  <c r="H1094" i="9"/>
  <c r="H1095" i="9"/>
  <c r="H1096" i="9"/>
  <c r="H1097" i="9"/>
  <c r="H1098" i="9"/>
  <c r="H1099" i="9"/>
  <c r="H1100" i="9"/>
  <c r="H1101" i="9"/>
  <c r="H1102" i="9"/>
  <c r="H1103" i="9"/>
  <c r="H1104" i="9"/>
  <c r="H1105" i="9"/>
  <c r="H1106" i="9"/>
  <c r="H1107" i="9"/>
  <c r="H1108" i="9"/>
  <c r="H1109" i="9"/>
  <c r="H1110" i="9"/>
  <c r="H1111" i="9"/>
  <c r="H1112" i="9"/>
  <c r="H1113" i="9"/>
  <c r="H1114" i="9"/>
  <c r="H1115" i="9"/>
  <c r="H1116" i="9"/>
  <c r="H1117" i="9"/>
  <c r="H1118" i="9"/>
  <c r="H1119" i="9"/>
  <c r="H1120" i="9"/>
  <c r="H1121" i="9"/>
  <c r="H1122" i="9"/>
  <c r="H1123" i="9"/>
  <c r="H1124" i="9"/>
  <c r="H1125" i="9"/>
  <c r="H1126" i="9"/>
  <c r="H1127" i="9"/>
  <c r="H1128" i="9"/>
  <c r="H1129" i="9"/>
  <c r="H1130" i="9"/>
  <c r="H1131" i="9"/>
  <c r="H1132" i="9"/>
  <c r="H1133" i="9"/>
  <c r="H1134" i="9"/>
  <c r="H1135" i="9"/>
  <c r="H1136" i="9"/>
  <c r="H1137" i="9"/>
  <c r="H1138" i="9"/>
  <c r="H1139" i="9"/>
  <c r="H1140" i="9"/>
  <c r="H1141" i="9"/>
  <c r="H1142" i="9"/>
  <c r="H1143" i="9"/>
  <c r="H1144" i="9"/>
  <c r="H1145" i="9"/>
  <c r="H1146" i="9"/>
  <c r="H1147" i="9"/>
  <c r="H1148" i="9"/>
  <c r="H1149" i="9"/>
  <c r="H1150" i="9"/>
  <c r="H1151" i="9"/>
  <c r="H1152" i="9"/>
  <c r="H1153" i="9"/>
  <c r="H1154" i="9"/>
  <c r="H1155" i="9"/>
  <c r="H1156" i="9"/>
  <c r="H1157" i="9"/>
  <c r="H1158" i="9"/>
  <c r="H1159" i="9"/>
  <c r="H1160" i="9"/>
  <c r="H1161" i="9"/>
  <c r="H1162" i="9"/>
  <c r="H1163" i="9"/>
  <c r="H1164" i="9"/>
  <c r="H1165" i="9"/>
  <c r="H1166" i="9"/>
  <c r="H1167" i="9"/>
  <c r="H1168" i="9"/>
  <c r="H1169" i="9"/>
  <c r="H1170" i="9"/>
  <c r="H1171" i="9"/>
  <c r="H1172" i="9"/>
  <c r="H1173" i="9"/>
  <c r="H1174" i="9"/>
  <c r="H1175" i="9"/>
  <c r="H1176" i="9"/>
  <c r="H1177" i="9"/>
  <c r="H1178" i="9"/>
  <c r="H1179" i="9"/>
  <c r="H1180" i="9"/>
  <c r="H1181" i="9"/>
  <c r="H1182" i="9"/>
  <c r="H1183" i="9"/>
  <c r="H1184" i="9"/>
  <c r="H1185" i="9"/>
  <c r="H1186" i="9"/>
  <c r="H1187" i="9"/>
  <c r="H1188" i="9"/>
  <c r="H1189" i="9"/>
  <c r="H1190" i="9"/>
  <c r="H1191" i="9"/>
  <c r="H1192" i="9"/>
  <c r="H1193" i="9"/>
  <c r="H1194" i="9"/>
  <c r="H1195" i="9"/>
  <c r="H1196" i="9"/>
  <c r="H1197" i="9"/>
  <c r="H1198" i="9"/>
  <c r="H1199" i="9"/>
  <c r="H1200" i="9"/>
  <c r="H1201" i="9"/>
  <c r="H1202" i="9"/>
  <c r="H1203" i="9"/>
  <c r="H1204" i="9"/>
  <c r="H1205" i="9"/>
  <c r="H1206" i="9"/>
  <c r="H1207" i="9"/>
  <c r="H1208" i="9"/>
  <c r="H1209" i="9"/>
  <c r="H1210" i="9"/>
  <c r="H1211" i="9"/>
  <c r="H1212" i="9"/>
  <c r="H1213" i="9"/>
  <c r="H1214" i="9"/>
  <c r="H1215" i="9"/>
  <c r="H1216" i="9"/>
  <c r="H1217" i="9"/>
  <c r="H1218" i="9"/>
  <c r="H1219" i="9"/>
  <c r="H1220" i="9"/>
  <c r="H1221" i="9"/>
  <c r="H1222" i="9"/>
  <c r="H1223" i="9"/>
  <c r="H1224" i="9"/>
  <c r="H1225" i="9"/>
  <c r="H1226" i="9"/>
  <c r="H1227" i="9"/>
  <c r="H1228" i="9"/>
  <c r="H1229" i="9"/>
  <c r="H1230" i="9"/>
  <c r="H1231" i="9"/>
  <c r="H1232" i="9"/>
  <c r="H1233" i="9"/>
  <c r="H1234" i="9"/>
  <c r="H1235" i="9"/>
  <c r="H1236" i="9"/>
  <c r="H1237" i="9"/>
  <c r="H1238" i="9"/>
  <c r="H1239" i="9"/>
  <c r="H1240" i="9"/>
  <c r="H1241" i="9"/>
  <c r="H1242" i="9"/>
  <c r="H1243" i="9"/>
  <c r="H1244" i="9"/>
  <c r="H1245" i="9"/>
  <c r="H1246" i="9"/>
  <c r="H1247" i="9"/>
  <c r="H1248" i="9"/>
  <c r="H1249" i="9"/>
  <c r="H1250" i="9"/>
  <c r="H1251" i="9"/>
  <c r="H1252" i="9"/>
  <c r="H1253" i="9"/>
  <c r="H1254" i="9"/>
  <c r="H1255" i="9"/>
  <c r="H1256" i="9"/>
  <c r="H1257" i="9"/>
  <c r="H1258" i="9"/>
  <c r="H1259" i="9"/>
  <c r="H1260" i="9"/>
  <c r="H1261" i="9"/>
  <c r="H1262" i="9"/>
  <c r="H1263" i="9"/>
  <c r="H1264" i="9"/>
  <c r="H1265" i="9"/>
  <c r="H1266" i="9"/>
  <c r="H1267" i="9"/>
  <c r="H1268" i="9"/>
  <c r="H1269" i="9"/>
  <c r="H1270" i="9"/>
  <c r="H1271" i="9"/>
  <c r="H1272" i="9"/>
  <c r="H1273" i="9"/>
  <c r="H1274" i="9"/>
  <c r="H1275" i="9"/>
  <c r="H1276" i="9"/>
  <c r="H1277" i="9"/>
  <c r="H1278" i="9"/>
  <c r="H1279" i="9"/>
  <c r="H1280" i="9"/>
  <c r="H1281" i="9"/>
  <c r="H1282" i="9"/>
  <c r="H1283" i="9"/>
  <c r="H1284" i="9"/>
  <c r="H1285" i="9"/>
  <c r="H1286" i="9"/>
  <c r="H1287" i="9"/>
  <c r="H1288" i="9"/>
  <c r="H1289" i="9"/>
  <c r="H1290" i="9"/>
  <c r="H1291" i="9"/>
  <c r="H1292" i="9"/>
  <c r="H1293" i="9"/>
  <c r="H1294" i="9"/>
  <c r="H1295" i="9"/>
  <c r="H1296" i="9"/>
  <c r="H1297" i="9"/>
  <c r="H1298" i="9"/>
  <c r="H1299" i="9"/>
  <c r="H1300" i="9"/>
  <c r="H1301" i="9"/>
  <c r="H1302" i="9"/>
  <c r="H1303" i="9"/>
  <c r="H1304" i="9"/>
  <c r="H1305" i="9"/>
  <c r="H1306" i="9"/>
  <c r="H1307" i="9"/>
  <c r="H1308" i="9"/>
  <c r="H1309" i="9"/>
  <c r="H1310" i="9"/>
  <c r="H1311" i="9"/>
  <c r="H1312" i="9"/>
  <c r="H1313" i="9"/>
  <c r="H1314" i="9"/>
  <c r="H1315" i="9"/>
  <c r="H1316" i="9"/>
  <c r="H1317" i="9"/>
  <c r="H1318" i="9"/>
  <c r="H1319" i="9"/>
  <c r="H1320" i="9"/>
  <c r="H1321" i="9"/>
  <c r="H1322" i="9"/>
  <c r="H1323" i="9"/>
  <c r="H1324" i="9"/>
  <c r="H1325" i="9"/>
  <c r="H1326" i="9"/>
  <c r="H1327" i="9"/>
  <c r="H1328" i="9"/>
  <c r="H1329" i="9"/>
  <c r="H1330" i="9"/>
  <c r="H1331" i="9"/>
  <c r="H1332" i="9"/>
  <c r="H1333" i="9"/>
  <c r="H1334" i="9"/>
  <c r="H1335" i="9"/>
  <c r="H1336" i="9"/>
  <c r="H1337" i="9"/>
  <c r="H1338" i="9"/>
  <c r="H1339" i="9"/>
  <c r="H1340" i="9"/>
  <c r="H1341" i="9"/>
  <c r="H1342" i="9"/>
  <c r="H1343" i="9"/>
  <c r="H1344" i="9"/>
  <c r="H1345" i="9"/>
  <c r="H1346" i="9"/>
  <c r="H1347" i="9"/>
  <c r="H1348" i="9"/>
  <c r="H1349" i="9"/>
  <c r="H1350" i="9"/>
  <c r="H1351" i="9"/>
  <c r="H1352" i="9"/>
  <c r="H1353" i="9"/>
  <c r="H1354" i="9"/>
  <c r="H1355" i="9"/>
  <c r="H1356" i="9"/>
  <c r="H1357" i="9"/>
  <c r="H1358" i="9"/>
  <c r="H1359" i="9"/>
  <c r="H1360" i="9"/>
  <c r="H1361" i="9"/>
  <c r="H1362" i="9"/>
  <c r="H1363" i="9"/>
  <c r="H1364" i="9"/>
  <c r="H1365" i="9"/>
  <c r="H1366" i="9"/>
  <c r="H1367" i="9"/>
  <c r="H1368" i="9"/>
  <c r="H1369" i="9"/>
  <c r="H1370" i="9"/>
  <c r="H1371" i="9"/>
  <c r="H1372" i="9"/>
  <c r="H1373" i="9"/>
  <c r="H1374" i="9"/>
  <c r="H1375" i="9"/>
  <c r="H1376" i="9"/>
  <c r="H1377" i="9"/>
  <c r="H1378" i="9"/>
  <c r="H1379" i="9"/>
  <c r="H1380" i="9"/>
  <c r="H1381" i="9"/>
  <c r="H1382" i="9"/>
  <c r="H1383" i="9"/>
  <c r="H1384" i="9"/>
  <c r="H1385" i="9"/>
  <c r="H1386" i="9"/>
  <c r="H1387" i="9"/>
  <c r="H1388" i="9"/>
  <c r="H1389" i="9"/>
  <c r="H1390" i="9"/>
  <c r="H1391" i="9"/>
  <c r="H1392" i="9"/>
  <c r="H1393" i="9"/>
  <c r="H1394" i="9"/>
  <c r="H1395" i="9"/>
  <c r="H1396" i="9"/>
  <c r="H1397" i="9"/>
  <c r="H1398" i="9"/>
  <c r="H1399" i="9"/>
  <c r="H1400" i="9"/>
  <c r="H1401" i="9"/>
  <c r="H1402" i="9"/>
  <c r="H1403" i="9"/>
  <c r="H1404" i="9"/>
  <c r="H1405" i="9"/>
  <c r="H1406" i="9"/>
  <c r="H1407" i="9"/>
  <c r="H1408" i="9"/>
  <c r="H1409" i="9"/>
  <c r="H1410" i="9"/>
  <c r="H1411" i="9"/>
  <c r="H1412" i="9"/>
  <c r="H1413" i="9"/>
  <c r="H1414" i="9"/>
  <c r="H1415" i="9"/>
  <c r="H1416" i="9"/>
  <c r="H1417" i="9"/>
  <c r="H1418" i="9"/>
  <c r="H1419" i="9"/>
  <c r="H1420" i="9"/>
  <c r="H1421" i="9"/>
  <c r="H1422" i="9"/>
  <c r="H1423" i="9"/>
  <c r="H1424" i="9"/>
  <c r="H1425" i="9"/>
  <c r="H1426" i="9"/>
  <c r="H1427" i="9"/>
  <c r="H1428" i="9"/>
  <c r="H1429" i="9"/>
  <c r="H1430" i="9"/>
  <c r="H1431" i="9"/>
  <c r="H1432" i="9"/>
  <c r="H1433" i="9"/>
  <c r="H1434" i="9"/>
  <c r="H1435" i="9"/>
  <c r="H1436" i="9"/>
  <c r="H1437" i="9"/>
  <c r="H1438" i="9"/>
  <c r="H1439" i="9"/>
  <c r="H1440" i="9"/>
  <c r="H1441" i="9"/>
  <c r="H1442" i="9"/>
  <c r="H1443" i="9"/>
  <c r="H1444" i="9"/>
  <c r="H1445" i="9"/>
  <c r="H1446" i="9"/>
  <c r="H1447" i="9"/>
  <c r="H1448" i="9"/>
  <c r="H1449" i="9"/>
  <c r="H1450" i="9"/>
  <c r="H1451" i="9"/>
  <c r="H1452" i="9"/>
  <c r="H1453" i="9"/>
  <c r="H1454" i="9"/>
  <c r="H1455" i="9"/>
  <c r="H1456" i="9"/>
  <c r="H1457" i="9"/>
  <c r="H1458" i="9"/>
  <c r="H1459" i="9"/>
  <c r="H1460" i="9"/>
  <c r="H1461" i="9"/>
  <c r="H1462" i="9"/>
  <c r="H1463" i="9"/>
  <c r="H1464" i="9"/>
  <c r="H1465" i="9"/>
  <c r="H1466" i="9"/>
  <c r="H1467" i="9"/>
  <c r="H1468" i="9"/>
  <c r="H1469" i="9"/>
  <c r="H1470" i="9"/>
  <c r="H1471" i="9"/>
  <c r="H1472" i="9"/>
  <c r="H1473" i="9"/>
  <c r="H1474" i="9"/>
  <c r="H1475" i="9"/>
  <c r="H1476" i="9"/>
  <c r="H1477" i="9"/>
  <c r="H1478" i="9"/>
  <c r="H1479" i="9"/>
  <c r="H1480" i="9"/>
  <c r="H1481" i="9"/>
  <c r="H1482" i="9"/>
  <c r="H1483" i="9"/>
  <c r="H1484" i="9"/>
  <c r="H1485" i="9"/>
  <c r="H1486" i="9"/>
  <c r="H1487" i="9"/>
  <c r="H1488" i="9"/>
  <c r="H1489" i="9"/>
  <c r="H1490" i="9"/>
  <c r="H1491" i="9"/>
  <c r="H1492" i="9"/>
  <c r="H1493" i="9"/>
  <c r="H1494" i="9"/>
  <c r="H1495" i="9"/>
  <c r="H1496" i="9"/>
  <c r="H1497" i="9"/>
  <c r="H1498" i="9"/>
  <c r="H1499" i="9"/>
  <c r="H1500" i="9"/>
  <c r="H1501" i="9"/>
  <c r="H1502" i="9"/>
  <c r="H1503" i="9"/>
  <c r="H1504" i="9"/>
  <c r="H1505" i="9"/>
  <c r="H1506" i="9"/>
  <c r="H1507" i="9"/>
  <c r="H1508" i="9"/>
  <c r="H1509" i="9"/>
  <c r="H1510" i="9"/>
  <c r="H1511" i="9"/>
  <c r="H1512" i="9"/>
  <c r="H1513" i="9"/>
  <c r="H1514" i="9"/>
  <c r="H1515" i="9"/>
  <c r="H1516" i="9"/>
  <c r="H1517" i="9"/>
  <c r="H1518" i="9"/>
  <c r="H1519" i="9"/>
  <c r="H1520" i="9"/>
  <c r="H1521" i="9"/>
  <c r="H1522" i="9"/>
  <c r="H1523" i="9"/>
  <c r="H1524" i="9"/>
  <c r="H1525" i="9"/>
  <c r="H1526" i="9"/>
  <c r="H1527" i="9"/>
  <c r="H1528" i="9"/>
  <c r="H1529" i="9"/>
  <c r="H1530" i="9"/>
  <c r="H1531" i="9"/>
  <c r="H1532" i="9"/>
  <c r="H1533" i="9"/>
  <c r="H1534" i="9"/>
  <c r="H1535" i="9"/>
  <c r="H1536" i="9"/>
  <c r="H1537" i="9"/>
  <c r="H1538" i="9"/>
  <c r="H1539" i="9"/>
  <c r="H1540" i="9"/>
  <c r="H1541" i="9"/>
  <c r="H1542" i="9"/>
  <c r="H1543" i="9"/>
  <c r="H1544" i="9"/>
  <c r="H1545" i="9"/>
  <c r="H1546" i="9"/>
  <c r="H1547" i="9"/>
  <c r="H1548" i="9"/>
  <c r="H1549" i="9"/>
  <c r="H1550" i="9"/>
  <c r="H1551" i="9"/>
  <c r="H1552" i="9"/>
  <c r="H1553" i="9"/>
  <c r="H1554" i="9"/>
  <c r="H1555" i="9"/>
  <c r="H1556" i="9"/>
  <c r="H1557" i="9"/>
  <c r="H1558" i="9"/>
  <c r="H1559" i="9"/>
  <c r="H1560" i="9"/>
  <c r="H1561" i="9"/>
  <c r="H1562" i="9"/>
  <c r="H1563" i="9"/>
  <c r="H1564" i="9"/>
  <c r="H1565" i="9"/>
  <c r="H1566" i="9"/>
  <c r="H1567" i="9"/>
  <c r="H1568" i="9"/>
  <c r="H1569" i="9"/>
  <c r="H1570" i="9"/>
  <c r="H1571" i="9"/>
  <c r="H1572" i="9"/>
  <c r="H1573" i="9"/>
  <c r="H1574" i="9"/>
  <c r="H1575" i="9"/>
  <c r="H1576" i="9"/>
  <c r="H1577" i="9"/>
  <c r="H1578" i="9"/>
  <c r="H1579" i="9"/>
  <c r="H1580" i="9"/>
  <c r="H1581" i="9"/>
  <c r="H1582" i="9"/>
  <c r="H1583" i="9"/>
  <c r="H1584" i="9"/>
  <c r="H1585" i="9"/>
  <c r="H1586" i="9"/>
  <c r="H1587" i="9"/>
  <c r="H1588" i="9"/>
  <c r="H1589" i="9"/>
  <c r="H1590" i="9"/>
  <c r="H1591" i="9"/>
  <c r="H1592" i="9"/>
  <c r="H1593" i="9"/>
  <c r="H1594" i="9"/>
  <c r="H1595" i="9"/>
  <c r="H1596" i="9"/>
  <c r="H1597" i="9"/>
  <c r="H1598" i="9"/>
  <c r="H1599" i="9"/>
  <c r="H1600" i="9"/>
  <c r="H1601" i="9"/>
  <c r="H1602" i="9"/>
  <c r="H1603" i="9"/>
  <c r="H1604" i="9"/>
  <c r="H1605" i="9"/>
  <c r="H1606" i="9"/>
  <c r="H1607" i="9"/>
  <c r="H1608" i="9"/>
  <c r="H1609" i="9"/>
  <c r="H1610" i="9"/>
  <c r="H1611" i="9"/>
  <c r="H1612" i="9"/>
  <c r="H1613" i="9"/>
  <c r="H1614" i="9"/>
  <c r="H1615" i="9"/>
  <c r="H1616" i="9"/>
  <c r="H1617" i="9"/>
  <c r="H1618" i="9"/>
  <c r="H1619" i="9"/>
  <c r="H1620" i="9"/>
  <c r="H1621" i="9"/>
  <c r="H1622" i="9"/>
  <c r="H1623" i="9"/>
  <c r="H1624" i="9"/>
  <c r="H1625" i="9"/>
  <c r="H1626" i="9"/>
  <c r="H1627" i="9"/>
  <c r="H1628" i="9"/>
  <c r="H1629" i="9"/>
  <c r="H1630" i="9"/>
  <c r="H1631" i="9"/>
  <c r="H1632" i="9"/>
  <c r="H1633" i="9"/>
  <c r="H1634" i="9"/>
  <c r="H1635" i="9"/>
  <c r="H1636" i="9"/>
  <c r="H1637" i="9"/>
  <c r="H1638" i="9"/>
  <c r="H1639" i="9"/>
  <c r="H1640" i="9"/>
  <c r="H1641" i="9"/>
  <c r="H1642" i="9"/>
  <c r="H1643" i="9"/>
  <c r="H1644" i="9"/>
  <c r="H1645" i="9"/>
  <c r="H1646" i="9"/>
  <c r="H1647" i="9"/>
  <c r="H1648" i="9"/>
  <c r="H1649" i="9"/>
  <c r="H1650" i="9"/>
  <c r="H1651" i="9"/>
  <c r="H1652" i="9"/>
  <c r="H1653" i="9"/>
  <c r="H1654" i="9"/>
  <c r="H1655" i="9"/>
  <c r="H1656" i="9"/>
  <c r="H1657" i="9"/>
  <c r="H1658" i="9"/>
  <c r="H1659" i="9"/>
  <c r="H1660" i="9"/>
  <c r="H1661" i="9"/>
  <c r="H1662" i="9"/>
  <c r="H1663" i="9"/>
  <c r="H1664" i="9"/>
  <c r="H1665" i="9"/>
  <c r="H1666" i="9"/>
  <c r="H1667" i="9"/>
  <c r="H1668" i="9"/>
  <c r="H1669" i="9"/>
  <c r="H1670" i="9"/>
  <c r="H1671" i="9"/>
  <c r="H1672" i="9"/>
  <c r="H1673" i="9"/>
  <c r="H1674" i="9"/>
  <c r="H1675" i="9"/>
  <c r="H1676" i="9"/>
  <c r="H1677" i="9"/>
  <c r="H1678" i="9"/>
  <c r="H1679" i="9"/>
  <c r="H1680" i="9"/>
  <c r="H1681" i="9"/>
  <c r="H1682" i="9"/>
  <c r="H1683" i="9"/>
  <c r="H1684" i="9"/>
  <c r="H1685" i="9"/>
  <c r="H1686" i="9"/>
  <c r="H1687" i="9"/>
  <c r="H1688" i="9"/>
  <c r="H1689" i="9"/>
  <c r="H1690" i="9"/>
  <c r="H1691" i="9"/>
  <c r="H1692" i="9"/>
  <c r="H1693" i="9"/>
  <c r="H1694" i="9"/>
  <c r="H1695" i="9"/>
  <c r="H1696" i="9"/>
  <c r="H1697" i="9"/>
  <c r="H1698" i="9"/>
  <c r="H1699" i="9"/>
  <c r="H1700" i="9"/>
  <c r="H1701" i="9"/>
  <c r="H1702" i="9"/>
  <c r="H1703" i="9"/>
  <c r="H1704" i="9"/>
  <c r="H1705" i="9"/>
  <c r="H1706" i="9"/>
  <c r="H1707" i="9"/>
  <c r="H1708" i="9"/>
  <c r="H1709" i="9"/>
  <c r="H1710" i="9"/>
  <c r="H1711" i="9"/>
  <c r="H1712" i="9"/>
  <c r="H1713" i="9"/>
  <c r="H1714" i="9"/>
  <c r="H1715" i="9"/>
  <c r="H1716" i="9"/>
  <c r="H1717" i="9"/>
  <c r="H1718" i="9"/>
  <c r="H1719" i="9"/>
  <c r="H1720" i="9"/>
  <c r="H1721" i="9"/>
  <c r="H1722" i="9"/>
  <c r="H1723" i="9"/>
  <c r="H1724" i="9"/>
  <c r="H1725" i="9"/>
  <c r="H1726" i="9"/>
  <c r="H1727" i="9"/>
  <c r="H1728" i="9"/>
  <c r="H1729" i="9"/>
  <c r="H1730" i="9"/>
  <c r="H1731" i="9"/>
  <c r="H1732" i="9"/>
  <c r="H1733" i="9"/>
  <c r="H1734" i="9"/>
  <c r="H1735" i="9"/>
  <c r="H1736" i="9"/>
  <c r="H1737" i="9"/>
  <c r="H1738" i="9"/>
  <c r="H1739" i="9"/>
  <c r="H1740" i="9"/>
  <c r="H1741" i="9"/>
  <c r="H1742" i="9"/>
  <c r="H1743" i="9"/>
  <c r="H1744" i="9"/>
  <c r="H1745" i="9"/>
  <c r="H1746" i="9"/>
  <c r="H1747" i="9"/>
  <c r="H1748" i="9"/>
  <c r="H1749" i="9"/>
  <c r="H1750" i="9"/>
  <c r="H1751" i="9"/>
  <c r="H1752" i="9"/>
  <c r="H1753" i="9"/>
  <c r="H1754" i="9"/>
  <c r="H1755" i="9"/>
  <c r="H1756" i="9"/>
  <c r="H1757" i="9"/>
  <c r="H1758" i="9"/>
  <c r="H1759" i="9"/>
  <c r="H1760" i="9"/>
  <c r="H1761" i="9"/>
  <c r="H1762" i="9"/>
  <c r="H1763" i="9"/>
  <c r="H1764" i="9"/>
  <c r="H1765" i="9"/>
  <c r="H1766" i="9"/>
  <c r="H1767" i="9"/>
  <c r="H1768" i="9"/>
  <c r="H1769" i="9"/>
  <c r="H1770" i="9"/>
  <c r="H1771" i="9"/>
  <c r="H1772" i="9"/>
  <c r="H1773" i="9"/>
  <c r="H1774" i="9"/>
  <c r="H1775" i="9"/>
  <c r="H1776" i="9"/>
  <c r="H1777" i="9"/>
  <c r="H1778" i="9"/>
  <c r="H1779" i="9"/>
  <c r="H1780" i="9"/>
  <c r="H1781" i="9"/>
  <c r="H1782" i="9"/>
  <c r="H1783" i="9"/>
  <c r="H1784" i="9"/>
  <c r="H1785" i="9"/>
  <c r="H1786" i="9"/>
  <c r="H1787" i="9"/>
  <c r="H1788" i="9"/>
  <c r="H1789" i="9"/>
  <c r="H1790" i="9"/>
  <c r="H1791" i="9"/>
  <c r="H1792" i="9"/>
  <c r="H1793" i="9"/>
  <c r="H1794" i="9"/>
  <c r="H1795" i="9"/>
  <c r="H1796" i="9"/>
  <c r="H1797" i="9"/>
  <c r="H1798" i="9"/>
  <c r="H1799" i="9"/>
  <c r="H1800" i="9"/>
  <c r="H1801" i="9"/>
  <c r="H1802" i="9"/>
  <c r="H1803" i="9"/>
  <c r="H1804" i="9"/>
  <c r="H1805" i="9"/>
  <c r="H1806" i="9"/>
  <c r="H1807" i="9"/>
  <c r="H1808" i="9"/>
  <c r="H1809" i="9"/>
  <c r="H1810" i="9"/>
  <c r="H1811" i="9"/>
  <c r="H1812" i="9"/>
  <c r="H1813" i="9"/>
  <c r="H1814" i="9"/>
  <c r="H1815" i="9"/>
  <c r="H1816" i="9"/>
  <c r="H1817" i="9"/>
  <c r="H1818" i="9"/>
  <c r="H1819" i="9"/>
  <c r="H1820" i="9"/>
  <c r="H1821" i="9"/>
  <c r="H1822" i="9"/>
  <c r="H1823" i="9"/>
  <c r="H1824" i="9"/>
  <c r="H1825" i="9"/>
  <c r="H1826" i="9"/>
  <c r="H1827" i="9"/>
  <c r="H1828" i="9"/>
  <c r="H1829" i="9"/>
  <c r="H1830" i="9"/>
  <c r="H1831" i="9"/>
  <c r="H1832" i="9"/>
  <c r="H1833" i="9"/>
  <c r="H999" i="9"/>
  <c r="G999" i="9"/>
  <c r="G1000" i="9"/>
  <c r="G1001" i="9"/>
  <c r="G1002" i="9"/>
  <c r="G1003" i="9"/>
  <c r="G1004" i="9"/>
  <c r="G1005" i="9"/>
  <c r="G1006" i="9"/>
  <c r="G1007" i="9"/>
  <c r="G1008" i="9"/>
  <c r="G1009" i="9"/>
  <c r="G1010" i="9"/>
  <c r="G1011" i="9"/>
  <c r="G1012" i="9"/>
  <c r="G1013" i="9"/>
  <c r="G1014" i="9"/>
  <c r="G1015" i="9"/>
  <c r="G1016" i="9"/>
  <c r="G1017" i="9"/>
  <c r="G1018" i="9"/>
  <c r="G1019" i="9"/>
  <c r="G1020" i="9"/>
  <c r="G1021" i="9"/>
  <c r="G1022" i="9"/>
  <c r="G1023" i="9"/>
  <c r="G1024" i="9"/>
  <c r="G1025" i="9"/>
  <c r="G1026" i="9"/>
  <c r="G1027" i="9"/>
  <c r="G1028" i="9"/>
  <c r="G1029" i="9"/>
  <c r="G1030" i="9"/>
  <c r="G1031" i="9"/>
  <c r="G1032" i="9"/>
  <c r="G1033" i="9"/>
  <c r="G1034" i="9"/>
  <c r="G1035" i="9"/>
  <c r="G1036" i="9"/>
  <c r="G1037" i="9"/>
  <c r="G1038" i="9"/>
  <c r="G1039" i="9"/>
  <c r="G1040" i="9"/>
  <c r="G1041" i="9"/>
  <c r="G1042" i="9"/>
  <c r="G1043" i="9"/>
  <c r="G1044" i="9"/>
  <c r="G1045" i="9"/>
  <c r="G1046" i="9"/>
  <c r="G1047" i="9"/>
  <c r="G1048" i="9"/>
  <c r="G1049" i="9"/>
  <c r="G1050" i="9"/>
  <c r="G1051" i="9"/>
  <c r="G1052" i="9"/>
  <c r="G1053" i="9"/>
  <c r="G1054" i="9"/>
  <c r="G1055" i="9"/>
  <c r="G1056" i="9"/>
  <c r="G1057" i="9"/>
  <c r="G1058" i="9"/>
  <c r="G1059" i="9"/>
  <c r="G1060" i="9"/>
  <c r="G1061" i="9"/>
  <c r="G1062" i="9"/>
  <c r="G1063" i="9"/>
  <c r="G1064" i="9"/>
  <c r="G1065" i="9"/>
  <c r="G1066" i="9"/>
  <c r="G1067" i="9"/>
  <c r="G1068" i="9"/>
  <c r="G1069" i="9"/>
  <c r="G1070" i="9"/>
  <c r="G1071" i="9"/>
  <c r="G1072" i="9"/>
  <c r="G1073" i="9"/>
  <c r="G1074" i="9"/>
  <c r="G1075" i="9"/>
  <c r="G1076" i="9"/>
  <c r="G1077" i="9"/>
  <c r="G1078" i="9"/>
  <c r="G1079" i="9"/>
  <c r="G1080" i="9"/>
  <c r="G1081" i="9"/>
  <c r="G1082" i="9"/>
  <c r="G1083" i="9"/>
  <c r="G1084" i="9"/>
  <c r="G1085" i="9"/>
  <c r="G1086" i="9"/>
  <c r="G1087" i="9"/>
  <c r="G1088" i="9"/>
  <c r="G1089" i="9"/>
  <c r="G1090" i="9"/>
  <c r="G1091" i="9"/>
  <c r="G1092" i="9"/>
  <c r="G1093" i="9"/>
  <c r="G1094" i="9"/>
  <c r="G1095" i="9"/>
  <c r="G1096" i="9"/>
  <c r="G1097" i="9"/>
  <c r="G1098" i="9"/>
  <c r="G1099" i="9"/>
  <c r="G1100" i="9"/>
  <c r="G1101" i="9"/>
  <c r="G1102" i="9"/>
  <c r="G1103" i="9"/>
  <c r="G1104" i="9"/>
  <c r="G1105" i="9"/>
  <c r="G1106" i="9"/>
  <c r="G1107" i="9"/>
  <c r="G1108" i="9"/>
  <c r="G1109" i="9"/>
  <c r="G1110" i="9"/>
  <c r="G1111" i="9"/>
  <c r="G1112" i="9"/>
  <c r="G1113" i="9"/>
  <c r="G1114" i="9"/>
  <c r="G1115" i="9"/>
  <c r="G1116" i="9"/>
  <c r="G1117" i="9"/>
  <c r="G1118" i="9"/>
  <c r="G1119" i="9"/>
  <c r="G1120" i="9"/>
  <c r="G1121" i="9"/>
  <c r="G1122" i="9"/>
  <c r="G1123" i="9"/>
  <c r="G1124" i="9"/>
  <c r="G1125" i="9"/>
  <c r="G1126" i="9"/>
  <c r="G1127" i="9"/>
  <c r="G1128" i="9"/>
  <c r="G1129" i="9"/>
  <c r="G1130" i="9"/>
  <c r="G1131" i="9"/>
  <c r="G1132" i="9"/>
  <c r="G1133" i="9"/>
  <c r="G1134" i="9"/>
  <c r="G1135" i="9"/>
  <c r="G1136" i="9"/>
  <c r="G1137" i="9"/>
  <c r="G1138" i="9"/>
  <c r="G1139" i="9"/>
  <c r="G1140" i="9"/>
  <c r="G1141" i="9"/>
  <c r="G1142" i="9"/>
  <c r="G1143" i="9"/>
  <c r="G1144" i="9"/>
  <c r="G1145" i="9"/>
  <c r="G1146" i="9"/>
  <c r="G1147" i="9"/>
  <c r="G1148" i="9"/>
  <c r="G1149" i="9"/>
  <c r="G1150" i="9"/>
  <c r="G1151" i="9"/>
  <c r="G1152" i="9"/>
  <c r="G1153" i="9"/>
  <c r="G1154" i="9"/>
  <c r="G1155" i="9"/>
  <c r="G1156" i="9"/>
  <c r="G1157" i="9"/>
  <c r="G1158" i="9"/>
  <c r="G1159" i="9"/>
  <c r="G1160" i="9"/>
  <c r="G1161" i="9"/>
  <c r="G1162" i="9"/>
  <c r="G1163" i="9"/>
  <c r="G1164" i="9"/>
  <c r="G1165" i="9"/>
  <c r="G1166" i="9"/>
  <c r="G1167" i="9"/>
  <c r="G1168" i="9"/>
  <c r="G1169" i="9"/>
  <c r="G1170" i="9"/>
  <c r="G1171" i="9"/>
  <c r="G1172" i="9"/>
  <c r="G1173" i="9"/>
  <c r="G1174" i="9"/>
  <c r="G1175" i="9"/>
  <c r="G1176" i="9"/>
  <c r="G1177" i="9"/>
  <c r="G1178" i="9"/>
  <c r="G1179" i="9"/>
  <c r="G1180" i="9"/>
  <c r="G1181" i="9"/>
  <c r="G1182" i="9"/>
  <c r="G1183" i="9"/>
  <c r="G1184" i="9"/>
  <c r="G1185" i="9"/>
  <c r="G1186" i="9"/>
  <c r="G1187" i="9"/>
  <c r="G1188" i="9"/>
  <c r="G1189" i="9"/>
  <c r="G1190" i="9"/>
  <c r="G1191" i="9"/>
  <c r="G1192" i="9"/>
  <c r="G1193" i="9"/>
  <c r="G1194" i="9"/>
  <c r="G1195" i="9"/>
  <c r="G1196" i="9"/>
  <c r="G1197" i="9"/>
  <c r="G1198" i="9"/>
  <c r="G1199" i="9"/>
  <c r="G1200" i="9"/>
  <c r="G1201" i="9"/>
  <c r="G1202" i="9"/>
  <c r="G1203" i="9"/>
  <c r="G1204" i="9"/>
  <c r="G1205" i="9"/>
  <c r="G1206" i="9"/>
  <c r="G1207" i="9"/>
  <c r="G1208" i="9"/>
  <c r="G1209" i="9"/>
  <c r="G1210" i="9"/>
  <c r="G1211" i="9"/>
  <c r="G1212" i="9"/>
  <c r="G1213" i="9"/>
  <c r="G1214" i="9"/>
  <c r="G1215" i="9"/>
  <c r="G1216" i="9"/>
  <c r="G1217" i="9"/>
  <c r="G1218" i="9"/>
  <c r="G1219" i="9"/>
  <c r="G1220" i="9"/>
  <c r="G1221" i="9"/>
  <c r="G1222" i="9"/>
  <c r="G1223" i="9"/>
  <c r="G1224" i="9"/>
  <c r="G1225" i="9"/>
  <c r="G1226" i="9"/>
  <c r="G1227" i="9"/>
  <c r="G1228" i="9"/>
  <c r="G1229" i="9"/>
  <c r="G1230" i="9"/>
  <c r="G1231" i="9"/>
  <c r="G1232" i="9"/>
  <c r="G1233" i="9"/>
  <c r="G1234" i="9"/>
  <c r="G1235" i="9"/>
  <c r="G1236" i="9"/>
  <c r="G1237" i="9"/>
  <c r="G1238" i="9"/>
  <c r="G1239" i="9"/>
  <c r="G1240" i="9"/>
  <c r="G1241" i="9"/>
  <c r="G1242" i="9"/>
  <c r="G1243" i="9"/>
  <c r="G1244" i="9"/>
  <c r="G1245" i="9"/>
  <c r="G1246" i="9"/>
  <c r="G1247" i="9"/>
  <c r="G1248" i="9"/>
  <c r="G1249" i="9"/>
  <c r="G1250" i="9"/>
  <c r="G1251" i="9"/>
  <c r="G1252" i="9"/>
  <c r="G1253" i="9"/>
  <c r="G1254" i="9"/>
  <c r="G1255" i="9"/>
  <c r="G1256" i="9"/>
  <c r="G1257" i="9"/>
  <c r="G1258" i="9"/>
  <c r="G1259" i="9"/>
  <c r="G1260" i="9"/>
  <c r="G1261" i="9"/>
  <c r="G1262" i="9"/>
  <c r="G1263" i="9"/>
  <c r="G1264" i="9"/>
  <c r="G1265" i="9"/>
  <c r="G1266" i="9"/>
  <c r="G1267" i="9"/>
  <c r="G1268" i="9"/>
  <c r="G1269" i="9"/>
  <c r="G1270" i="9"/>
  <c r="G1271" i="9"/>
  <c r="G1272" i="9"/>
  <c r="G1273" i="9"/>
  <c r="G1274" i="9"/>
  <c r="G1275" i="9"/>
  <c r="G1276" i="9"/>
  <c r="G1277" i="9"/>
  <c r="G1278" i="9"/>
  <c r="G1279" i="9"/>
  <c r="G1280" i="9"/>
  <c r="G1281" i="9"/>
  <c r="G1282" i="9"/>
  <c r="G1283" i="9"/>
  <c r="G1284" i="9"/>
  <c r="G1285" i="9"/>
  <c r="G1286" i="9"/>
  <c r="G1287" i="9"/>
  <c r="G1288" i="9"/>
  <c r="G1289" i="9"/>
  <c r="G1290" i="9"/>
  <c r="G1291" i="9"/>
  <c r="G1292" i="9"/>
  <c r="G1293" i="9"/>
  <c r="G1294" i="9"/>
  <c r="G1295" i="9"/>
  <c r="G1296" i="9"/>
  <c r="G1297" i="9"/>
  <c r="G1298" i="9"/>
  <c r="G1299" i="9"/>
  <c r="G1300" i="9"/>
  <c r="G1301" i="9"/>
  <c r="G1302" i="9"/>
  <c r="G1303" i="9"/>
  <c r="G1304" i="9"/>
  <c r="G1305" i="9"/>
  <c r="G1306" i="9"/>
  <c r="G1307" i="9"/>
  <c r="G1308" i="9"/>
  <c r="G1309" i="9"/>
  <c r="G1310" i="9"/>
  <c r="G1311" i="9"/>
  <c r="G1312" i="9"/>
  <c r="G1313" i="9"/>
  <c r="G1314" i="9"/>
  <c r="G1315" i="9"/>
  <c r="G1316" i="9"/>
  <c r="G1317" i="9"/>
  <c r="G1318" i="9"/>
  <c r="G1319" i="9"/>
  <c r="G1320" i="9"/>
  <c r="G1321" i="9"/>
  <c r="G1322" i="9"/>
  <c r="G1323" i="9"/>
  <c r="G1324" i="9"/>
  <c r="G1325" i="9"/>
  <c r="G1326" i="9"/>
  <c r="G1327" i="9"/>
  <c r="G1328" i="9"/>
  <c r="G1329" i="9"/>
  <c r="G1330" i="9"/>
  <c r="G1331" i="9"/>
  <c r="G1332" i="9"/>
  <c r="G1333" i="9"/>
  <c r="G1334" i="9"/>
  <c r="G1335" i="9"/>
  <c r="G1336" i="9"/>
  <c r="G1337" i="9"/>
  <c r="G1338" i="9"/>
  <c r="G1339" i="9"/>
  <c r="G1340" i="9"/>
  <c r="G1341" i="9"/>
  <c r="G1342" i="9"/>
  <c r="G1343" i="9"/>
  <c r="G1344" i="9"/>
  <c r="G1345" i="9"/>
  <c r="G1346" i="9"/>
  <c r="G1347" i="9"/>
  <c r="G1348" i="9"/>
  <c r="G1349" i="9"/>
  <c r="G1350" i="9"/>
  <c r="G1351" i="9"/>
  <c r="G1352" i="9"/>
  <c r="G1353" i="9"/>
  <c r="G1354" i="9"/>
  <c r="G1355" i="9"/>
  <c r="G1356" i="9"/>
  <c r="G1357" i="9"/>
  <c r="G1358" i="9"/>
  <c r="G1359" i="9"/>
  <c r="G1360" i="9"/>
  <c r="G1361" i="9"/>
  <c r="G1362" i="9"/>
  <c r="G1363" i="9"/>
  <c r="G1364" i="9"/>
  <c r="G1365" i="9"/>
  <c r="G1366" i="9"/>
  <c r="G1367" i="9"/>
  <c r="G1368" i="9"/>
  <c r="G1369" i="9"/>
  <c r="G1370" i="9"/>
  <c r="G1371" i="9"/>
  <c r="G1372" i="9"/>
  <c r="G1373" i="9"/>
  <c r="G1374" i="9"/>
  <c r="G1375" i="9"/>
  <c r="G1376" i="9"/>
  <c r="G1377" i="9"/>
  <c r="G1378" i="9"/>
  <c r="G1379" i="9"/>
  <c r="G1380" i="9"/>
  <c r="G1381" i="9"/>
  <c r="G1382" i="9"/>
  <c r="G1383" i="9"/>
  <c r="G1384" i="9"/>
  <c r="G1385" i="9"/>
  <c r="G1386" i="9"/>
  <c r="G1387" i="9"/>
  <c r="G1388" i="9"/>
  <c r="G1389" i="9"/>
  <c r="G1390" i="9"/>
  <c r="G1391" i="9"/>
  <c r="G1392" i="9"/>
  <c r="G1393" i="9"/>
  <c r="G1394" i="9"/>
  <c r="G1395" i="9"/>
  <c r="G1396" i="9"/>
  <c r="G1397" i="9"/>
  <c r="G1398" i="9"/>
  <c r="G1399" i="9"/>
  <c r="G1400" i="9"/>
  <c r="G1401" i="9"/>
  <c r="G1402" i="9"/>
  <c r="G1403" i="9"/>
  <c r="G1404" i="9"/>
  <c r="G1405" i="9"/>
  <c r="G1406" i="9"/>
  <c r="G1407" i="9"/>
  <c r="G1408" i="9"/>
  <c r="G1409" i="9"/>
  <c r="G1410" i="9"/>
  <c r="G1411" i="9"/>
  <c r="G1412" i="9"/>
  <c r="G1413" i="9"/>
  <c r="G1414" i="9"/>
  <c r="G1415" i="9"/>
  <c r="G1416" i="9"/>
  <c r="G1417" i="9"/>
  <c r="G1418" i="9"/>
  <c r="G1419" i="9"/>
  <c r="G1420" i="9"/>
  <c r="G1421" i="9"/>
  <c r="G1422" i="9"/>
  <c r="G1423" i="9"/>
  <c r="G1424" i="9"/>
  <c r="G1425" i="9"/>
  <c r="G1426" i="9"/>
  <c r="G1427" i="9"/>
  <c r="G1428" i="9"/>
  <c r="G1429" i="9"/>
  <c r="G1430" i="9"/>
  <c r="G1431" i="9"/>
  <c r="G1432" i="9"/>
  <c r="G1433" i="9"/>
  <c r="G1434" i="9"/>
  <c r="G1435" i="9"/>
  <c r="G1436" i="9"/>
  <c r="G1437" i="9"/>
  <c r="G1438" i="9"/>
  <c r="G1439" i="9"/>
  <c r="G1440" i="9"/>
  <c r="G1441" i="9"/>
  <c r="G1442" i="9"/>
  <c r="G1443" i="9"/>
  <c r="G1444" i="9"/>
  <c r="G1445" i="9"/>
  <c r="G1446" i="9"/>
  <c r="G1447" i="9"/>
  <c r="G1448" i="9"/>
  <c r="G1449" i="9"/>
  <c r="G1450" i="9"/>
  <c r="G1451" i="9"/>
  <c r="G1452" i="9"/>
  <c r="G1453" i="9"/>
  <c r="G1454" i="9"/>
  <c r="G1455" i="9"/>
  <c r="G1456" i="9"/>
  <c r="G1457" i="9"/>
  <c r="G1458" i="9"/>
  <c r="G1459" i="9"/>
  <c r="G1460" i="9"/>
  <c r="G1461" i="9"/>
  <c r="G1462" i="9"/>
  <c r="G1463" i="9"/>
  <c r="G1464" i="9"/>
  <c r="G1465" i="9"/>
  <c r="G1466" i="9"/>
  <c r="G1467" i="9"/>
  <c r="G1468" i="9"/>
  <c r="G1469" i="9"/>
  <c r="G1470" i="9"/>
  <c r="G1471" i="9"/>
  <c r="G1472" i="9"/>
  <c r="G1473" i="9"/>
  <c r="G1474" i="9"/>
  <c r="G1475" i="9"/>
  <c r="G1476" i="9"/>
  <c r="G1477" i="9"/>
  <c r="G1478" i="9"/>
  <c r="G1479" i="9"/>
  <c r="G1480" i="9"/>
  <c r="G1481" i="9"/>
  <c r="G1482" i="9"/>
  <c r="G1483" i="9"/>
  <c r="G1484" i="9"/>
  <c r="G1485" i="9"/>
  <c r="G1486" i="9"/>
  <c r="G1487" i="9"/>
  <c r="G1488" i="9"/>
  <c r="G1489" i="9"/>
  <c r="G1490" i="9"/>
  <c r="G1491" i="9"/>
  <c r="G1492" i="9"/>
  <c r="G1493" i="9"/>
  <c r="G1494" i="9"/>
  <c r="G1495" i="9"/>
  <c r="G1496" i="9"/>
  <c r="G1497" i="9"/>
  <c r="G1498" i="9"/>
  <c r="G1499" i="9"/>
  <c r="G1500" i="9"/>
  <c r="G1501" i="9"/>
  <c r="G1502" i="9"/>
  <c r="G1503" i="9"/>
  <c r="G1504" i="9"/>
  <c r="G1505" i="9"/>
  <c r="G1506" i="9"/>
  <c r="G1507" i="9"/>
  <c r="G1508" i="9"/>
  <c r="G1509" i="9"/>
  <c r="G1510" i="9"/>
  <c r="G1511" i="9"/>
  <c r="G1512" i="9"/>
  <c r="G1513" i="9"/>
  <c r="G1514" i="9"/>
  <c r="G1515" i="9"/>
  <c r="G1516" i="9"/>
  <c r="G1517" i="9"/>
  <c r="G1518" i="9"/>
  <c r="G1519" i="9"/>
  <c r="G1520" i="9"/>
  <c r="G1521" i="9"/>
  <c r="G1522" i="9"/>
  <c r="G1523" i="9"/>
  <c r="G1524" i="9"/>
  <c r="G1525" i="9"/>
  <c r="G1526" i="9"/>
  <c r="G1527" i="9"/>
  <c r="G1528" i="9"/>
  <c r="G1529" i="9"/>
  <c r="G1530" i="9"/>
  <c r="G1531" i="9"/>
  <c r="G1532" i="9"/>
  <c r="G1533" i="9"/>
  <c r="G1534" i="9"/>
  <c r="G1535" i="9"/>
  <c r="G1536" i="9"/>
  <c r="G1537" i="9"/>
  <c r="G1538" i="9"/>
  <c r="G1539" i="9"/>
  <c r="G1540" i="9"/>
  <c r="G1541" i="9"/>
  <c r="G1542" i="9"/>
  <c r="G1543" i="9"/>
  <c r="G1544" i="9"/>
  <c r="G1545" i="9"/>
  <c r="G1546" i="9"/>
  <c r="G1547" i="9"/>
  <c r="G1548" i="9"/>
  <c r="G1549" i="9"/>
  <c r="G1550" i="9"/>
  <c r="G1551" i="9"/>
  <c r="G1552" i="9"/>
  <c r="G1553" i="9"/>
  <c r="G1554" i="9"/>
  <c r="G1555" i="9"/>
  <c r="G1556" i="9"/>
  <c r="G1557" i="9"/>
  <c r="G1558" i="9"/>
  <c r="G1559" i="9"/>
  <c r="G1560" i="9"/>
  <c r="G1561" i="9"/>
  <c r="G1562" i="9"/>
  <c r="G1563" i="9"/>
  <c r="G1564" i="9"/>
  <c r="G1565" i="9"/>
  <c r="G1566" i="9"/>
  <c r="G1567" i="9"/>
  <c r="G1568" i="9"/>
  <c r="G1569" i="9"/>
  <c r="G1570" i="9"/>
  <c r="G1571" i="9"/>
  <c r="G1572" i="9"/>
  <c r="G1573" i="9"/>
  <c r="G1574" i="9"/>
  <c r="G1575" i="9"/>
  <c r="G1576" i="9"/>
  <c r="G1577" i="9"/>
  <c r="G1578" i="9"/>
  <c r="G1579" i="9"/>
  <c r="G1580" i="9"/>
  <c r="G1581" i="9"/>
  <c r="G1582" i="9"/>
  <c r="G1583" i="9"/>
  <c r="G1584" i="9"/>
  <c r="G1585" i="9"/>
  <c r="G1586" i="9"/>
  <c r="G1587" i="9"/>
  <c r="G1588" i="9"/>
  <c r="G1589" i="9"/>
  <c r="G1590" i="9"/>
  <c r="G1591" i="9"/>
  <c r="G1592" i="9"/>
  <c r="G1593" i="9"/>
  <c r="G1594" i="9"/>
  <c r="G1595" i="9"/>
  <c r="G1596" i="9"/>
  <c r="G1597" i="9"/>
  <c r="G1598" i="9"/>
  <c r="G1599" i="9"/>
  <c r="G1600" i="9"/>
  <c r="G1601" i="9"/>
  <c r="G1602" i="9"/>
  <c r="G1603" i="9"/>
  <c r="G1604" i="9"/>
  <c r="G1605" i="9"/>
  <c r="G1606" i="9"/>
  <c r="G1607" i="9"/>
  <c r="G1608" i="9"/>
  <c r="G1609" i="9"/>
  <c r="G1610" i="9"/>
  <c r="G1611" i="9"/>
  <c r="G1612" i="9"/>
  <c r="G1613" i="9"/>
  <c r="G1614" i="9"/>
  <c r="G1615" i="9"/>
  <c r="G1616" i="9"/>
  <c r="G1617" i="9"/>
  <c r="G1618" i="9"/>
  <c r="G1619" i="9"/>
  <c r="G1620" i="9"/>
  <c r="G1621" i="9"/>
  <c r="G1622" i="9"/>
  <c r="G1623" i="9"/>
  <c r="G1624" i="9"/>
  <c r="G1625" i="9"/>
  <c r="G1626" i="9"/>
  <c r="G1627" i="9"/>
  <c r="G1628" i="9"/>
  <c r="G1629" i="9"/>
  <c r="G1630" i="9"/>
  <c r="G1631" i="9"/>
  <c r="G1632" i="9"/>
  <c r="G1633" i="9"/>
  <c r="G1634" i="9"/>
  <c r="G1635" i="9"/>
  <c r="G1636" i="9"/>
  <c r="G1637" i="9"/>
  <c r="G1638" i="9"/>
  <c r="G1639" i="9"/>
  <c r="G1640" i="9"/>
  <c r="G1641" i="9"/>
  <c r="G1642" i="9"/>
  <c r="G1643" i="9"/>
  <c r="G1644" i="9"/>
  <c r="G1645" i="9"/>
  <c r="G1646" i="9"/>
  <c r="G1647" i="9"/>
  <c r="G1648" i="9"/>
  <c r="G1649" i="9"/>
  <c r="G1650" i="9"/>
  <c r="G1651" i="9"/>
  <c r="G1652" i="9"/>
  <c r="G1653" i="9"/>
  <c r="G1654" i="9"/>
  <c r="G1655" i="9"/>
  <c r="G1656" i="9"/>
  <c r="G1657" i="9"/>
  <c r="G1658" i="9"/>
  <c r="G1659" i="9"/>
  <c r="G1660" i="9"/>
  <c r="G1661" i="9"/>
  <c r="G1662" i="9"/>
  <c r="G1663" i="9"/>
  <c r="G1664" i="9"/>
  <c r="G1665" i="9"/>
  <c r="G1666" i="9"/>
  <c r="G1667" i="9"/>
  <c r="G1668" i="9"/>
  <c r="G1669" i="9"/>
  <c r="G1670" i="9"/>
  <c r="G1671" i="9"/>
  <c r="G1672" i="9"/>
  <c r="G1673" i="9"/>
  <c r="G1674" i="9"/>
  <c r="G1675" i="9"/>
  <c r="G1676" i="9"/>
  <c r="G1677" i="9"/>
  <c r="G1678" i="9"/>
  <c r="G1679" i="9"/>
  <c r="G1680" i="9"/>
  <c r="G1681" i="9"/>
  <c r="G1682" i="9"/>
  <c r="G1683" i="9"/>
  <c r="G1684" i="9"/>
  <c r="G1685" i="9"/>
  <c r="G1686" i="9"/>
  <c r="G1687" i="9"/>
  <c r="G1688" i="9"/>
  <c r="G1689" i="9"/>
  <c r="G1690" i="9"/>
  <c r="G1691" i="9"/>
  <c r="G1692" i="9"/>
  <c r="G1693" i="9"/>
  <c r="G1694" i="9"/>
  <c r="G1695" i="9"/>
  <c r="G1696" i="9"/>
  <c r="G1697" i="9"/>
  <c r="G1698" i="9"/>
  <c r="G1699" i="9"/>
  <c r="G1700" i="9"/>
  <c r="G1701" i="9"/>
  <c r="G1702" i="9"/>
  <c r="G1703" i="9"/>
  <c r="G1704" i="9"/>
  <c r="G1705" i="9"/>
  <c r="G1706" i="9"/>
  <c r="G1707" i="9"/>
  <c r="G1708" i="9"/>
  <c r="G1709" i="9"/>
  <c r="G1710" i="9"/>
  <c r="G1711" i="9"/>
  <c r="G1712" i="9"/>
  <c r="G1713" i="9"/>
  <c r="G1714" i="9"/>
  <c r="G1715" i="9"/>
  <c r="G1716" i="9"/>
  <c r="G1717" i="9"/>
  <c r="G1718" i="9"/>
  <c r="G1719" i="9"/>
  <c r="G1720" i="9"/>
  <c r="G1721" i="9"/>
  <c r="G1722" i="9"/>
  <c r="G1723" i="9"/>
  <c r="G1724" i="9"/>
  <c r="G1725" i="9"/>
  <c r="G1726" i="9"/>
  <c r="G1727" i="9"/>
  <c r="G1728" i="9"/>
  <c r="G1729" i="9"/>
  <c r="G1730" i="9"/>
  <c r="G1731" i="9"/>
  <c r="G1732" i="9"/>
  <c r="G1733" i="9"/>
  <c r="G1734" i="9"/>
  <c r="G1735" i="9"/>
  <c r="G1736" i="9"/>
  <c r="G1737" i="9"/>
  <c r="G1738" i="9"/>
  <c r="G1739" i="9"/>
  <c r="G1740" i="9"/>
  <c r="G1741" i="9"/>
  <c r="G1742" i="9"/>
  <c r="G1743" i="9"/>
  <c r="G1744" i="9"/>
  <c r="G1745" i="9"/>
  <c r="G1746" i="9"/>
  <c r="G1747" i="9"/>
  <c r="G1748" i="9"/>
  <c r="G1749" i="9"/>
  <c r="G1750" i="9"/>
  <c r="G1751" i="9"/>
  <c r="G1752" i="9"/>
  <c r="G1753" i="9"/>
  <c r="G1754" i="9"/>
  <c r="G1755" i="9"/>
  <c r="G1756" i="9"/>
  <c r="G1757" i="9"/>
  <c r="G1758" i="9"/>
  <c r="G1759" i="9"/>
  <c r="G1760" i="9"/>
  <c r="G1761" i="9"/>
  <c r="G1762" i="9"/>
  <c r="G1763" i="9"/>
  <c r="G1764" i="9"/>
  <c r="G1765" i="9"/>
  <c r="G1766" i="9"/>
  <c r="G1767" i="9"/>
  <c r="G1768" i="9"/>
  <c r="G1769" i="9"/>
  <c r="G1770" i="9"/>
  <c r="G1771" i="9"/>
  <c r="G1772" i="9"/>
  <c r="G1773" i="9"/>
  <c r="G1774" i="9"/>
  <c r="G1775" i="9"/>
  <c r="G1776" i="9"/>
  <c r="G1777" i="9"/>
  <c r="G1778" i="9"/>
  <c r="G1779" i="9"/>
  <c r="G1780" i="9"/>
  <c r="G1781" i="9"/>
  <c r="G1782" i="9"/>
  <c r="G1783" i="9"/>
  <c r="G1784" i="9"/>
  <c r="G1785" i="9"/>
  <c r="G1786" i="9"/>
  <c r="G1787" i="9"/>
  <c r="G1788" i="9"/>
  <c r="G1789" i="9"/>
  <c r="G1790" i="9"/>
  <c r="G1791" i="9"/>
  <c r="G1792" i="9"/>
  <c r="G1793" i="9"/>
  <c r="G1794" i="9"/>
  <c r="G1795" i="9"/>
  <c r="G1796" i="9"/>
  <c r="G1797" i="9"/>
  <c r="G1798" i="9"/>
  <c r="G1799" i="9"/>
  <c r="G1800" i="9"/>
  <c r="G1801" i="9"/>
  <c r="G1802" i="9"/>
  <c r="G1803" i="9"/>
  <c r="G1804" i="9"/>
  <c r="G1805" i="9"/>
  <c r="G1806" i="9"/>
  <c r="G1807" i="9"/>
  <c r="G1808" i="9"/>
  <c r="G1809" i="9"/>
  <c r="G1810" i="9"/>
  <c r="G1811" i="9"/>
  <c r="G1812" i="9"/>
  <c r="G1813" i="9"/>
  <c r="G1814" i="9"/>
  <c r="G1815" i="9"/>
  <c r="G1816" i="9"/>
  <c r="G1817" i="9"/>
  <c r="G1818" i="9"/>
  <c r="G1819" i="9"/>
  <c r="G1820" i="9"/>
  <c r="G1821" i="9"/>
  <c r="G1822" i="9"/>
  <c r="G1823" i="9"/>
  <c r="G1824" i="9"/>
  <c r="G1825" i="9"/>
  <c r="G1826" i="9"/>
  <c r="G1827" i="9"/>
  <c r="G1828" i="9"/>
  <c r="G1829" i="9"/>
  <c r="G1830" i="9"/>
  <c r="G1831" i="9"/>
  <c r="G1832" i="9"/>
  <c r="G1833" i="9"/>
  <c r="BG19" i="6"/>
  <c r="B27" i="6"/>
  <c r="BF17" i="6"/>
  <c r="J19" i="6" s="1"/>
  <c r="BD19" i="6" s="1"/>
  <c r="AQ19" i="6" s="1"/>
  <c r="B997" i="9"/>
  <c r="D1001" i="9" s="1"/>
  <c r="E1001" i="9" s="1"/>
  <c r="B383" i="9"/>
  <c r="D387" i="9" s="1"/>
  <c r="E387" i="9" s="1"/>
  <c r="B109" i="9"/>
  <c r="D115" i="9" s="1"/>
  <c r="E115" i="9" s="1"/>
  <c r="E157" i="9"/>
  <c r="R54" i="11" l="1"/>
  <c r="N54" i="11" s="1"/>
  <c r="R78" i="11"/>
  <c r="N78" i="11" s="1"/>
  <c r="R72" i="11"/>
  <c r="N72" i="11" s="1"/>
  <c r="I442" i="5"/>
  <c r="P443" i="5"/>
  <c r="F443" i="5"/>
  <c r="Q443" i="5" s="1"/>
  <c r="L322" i="5"/>
  <c r="P322" i="5" s="1"/>
  <c r="N66" i="11"/>
  <c r="T66" i="11"/>
  <c r="N60" i="11"/>
  <c r="T60" i="11"/>
  <c r="P439" i="5"/>
  <c r="I437" i="5" s="1"/>
  <c r="I401" i="5"/>
  <c r="I403" i="5"/>
  <c r="P275" i="5"/>
  <c r="I273" i="5" s="1"/>
  <c r="I278" i="5"/>
  <c r="P236" i="5"/>
  <c r="I234" i="5" s="1"/>
  <c r="I239" i="5"/>
  <c r="I237" i="5"/>
  <c r="F60" i="1"/>
  <c r="F279" i="5"/>
  <c r="AQ20" i="6"/>
  <c r="R48" i="11"/>
  <c r="L240" i="5"/>
  <c r="P240" i="5" s="1"/>
  <c r="Y20" i="6"/>
  <c r="D385" i="9"/>
  <c r="E385" i="9" s="1"/>
  <c r="D1006" i="9"/>
  <c r="E1006" i="9" s="1"/>
  <c r="D1002" i="9"/>
  <c r="E1002" i="9" s="1"/>
  <c r="D1000" i="9"/>
  <c r="E1000" i="9" s="1"/>
  <c r="D1004" i="9"/>
  <c r="E1004" i="9" s="1"/>
  <c r="D999" i="9"/>
  <c r="E999" i="9" s="1"/>
  <c r="D1003" i="9"/>
  <c r="E1003" i="9" s="1"/>
  <c r="D1005" i="9"/>
  <c r="E1005" i="9" s="1"/>
  <c r="D121" i="9"/>
  <c r="E121" i="9" s="1"/>
  <c r="D129" i="9"/>
  <c r="E129" i="9" s="1"/>
  <c r="D113" i="9"/>
  <c r="E113" i="9" s="1"/>
  <c r="D125" i="9"/>
  <c r="E125" i="9" s="1"/>
  <c r="D117" i="9"/>
  <c r="E117" i="9" s="1"/>
  <c r="D390" i="9"/>
  <c r="E390" i="9" s="1"/>
  <c r="D386" i="9"/>
  <c r="E386" i="9" s="1"/>
  <c r="D127" i="9"/>
  <c r="E127" i="9" s="1"/>
  <c r="D119" i="9"/>
  <c r="E119" i="9" s="1"/>
  <c r="D392" i="9"/>
  <c r="E392" i="9" s="1"/>
  <c r="D131" i="9"/>
  <c r="E131" i="9" s="1"/>
  <c r="D123" i="9"/>
  <c r="E123" i="9" s="1"/>
  <c r="D388" i="9"/>
  <c r="E388" i="9" s="1"/>
  <c r="D393" i="9"/>
  <c r="E393" i="9" s="1"/>
  <c r="D389" i="9"/>
  <c r="E389" i="9" s="1"/>
  <c r="D391" i="9"/>
  <c r="E391" i="9" s="1"/>
  <c r="D130" i="9"/>
  <c r="E130" i="9" s="1"/>
  <c r="D126" i="9"/>
  <c r="E126" i="9" s="1"/>
  <c r="D122" i="9"/>
  <c r="E122" i="9" s="1"/>
  <c r="D118" i="9"/>
  <c r="E118" i="9" s="1"/>
  <c r="D114" i="9"/>
  <c r="E114" i="9" s="1"/>
  <c r="D132" i="9"/>
  <c r="E132" i="9" s="1"/>
  <c r="D128" i="9"/>
  <c r="E128" i="9" s="1"/>
  <c r="D124" i="9"/>
  <c r="E124" i="9" s="1"/>
  <c r="D120" i="9"/>
  <c r="E120" i="9" s="1"/>
  <c r="D116" i="9"/>
  <c r="E116" i="9" s="1"/>
  <c r="E328" i="9"/>
  <c r="E202" i="9"/>
  <c r="E384" i="9"/>
  <c r="E352" i="9"/>
  <c r="E314" i="9"/>
  <c r="E250" i="9"/>
  <c r="E186" i="9"/>
  <c r="E376" i="9"/>
  <c r="E344" i="9"/>
  <c r="E298" i="9"/>
  <c r="E234" i="9"/>
  <c r="E152" i="9"/>
  <c r="E360" i="9"/>
  <c r="E266" i="9"/>
  <c r="E368" i="9"/>
  <c r="E336" i="9"/>
  <c r="E282" i="9"/>
  <c r="E218" i="9"/>
  <c r="E382" i="9"/>
  <c r="E374" i="9"/>
  <c r="E366" i="9"/>
  <c r="E358" i="9"/>
  <c r="E350" i="9"/>
  <c r="E342" i="9"/>
  <c r="E334" i="9"/>
  <c r="E326" i="9"/>
  <c r="E310" i="9"/>
  <c r="E294" i="9"/>
  <c r="E278" i="9"/>
  <c r="E262" i="9"/>
  <c r="E246" i="9"/>
  <c r="E230" i="9"/>
  <c r="E214" i="9"/>
  <c r="E198" i="9"/>
  <c r="E182" i="9"/>
  <c r="E166" i="9"/>
  <c r="E142" i="9"/>
  <c r="E170" i="9"/>
  <c r="E380" i="9"/>
  <c r="E372" i="9"/>
  <c r="E364" i="9"/>
  <c r="E356" i="9"/>
  <c r="E348" i="9"/>
  <c r="E340" i="9"/>
  <c r="E332" i="9"/>
  <c r="E322" i="9"/>
  <c r="E306" i="9"/>
  <c r="E290" i="9"/>
  <c r="E274" i="9"/>
  <c r="E258" i="9"/>
  <c r="E242" i="9"/>
  <c r="E226" i="9"/>
  <c r="E210" i="9"/>
  <c r="E194" i="9"/>
  <c r="E178" i="9"/>
  <c r="E162" i="9"/>
  <c r="E378" i="9"/>
  <c r="E370" i="9"/>
  <c r="E362" i="9"/>
  <c r="E354" i="9"/>
  <c r="E346" i="9"/>
  <c r="E338" i="9"/>
  <c r="E330" i="9"/>
  <c r="E318" i="9"/>
  <c r="E302" i="9"/>
  <c r="E286" i="9"/>
  <c r="E270" i="9"/>
  <c r="E254" i="9"/>
  <c r="E238" i="9"/>
  <c r="E222" i="9"/>
  <c r="E206" i="9"/>
  <c r="E190" i="9"/>
  <c r="E174" i="9"/>
  <c r="E135" i="9"/>
  <c r="E139" i="9"/>
  <c r="E143" i="9"/>
  <c r="E147" i="9"/>
  <c r="E151" i="9"/>
  <c r="E155" i="9"/>
  <c r="E159" i="9"/>
  <c r="E136" i="9"/>
  <c r="E140" i="9"/>
  <c r="E144" i="9"/>
  <c r="E133" i="9"/>
  <c r="E137" i="9"/>
  <c r="E141" i="9"/>
  <c r="E145" i="9"/>
  <c r="E149" i="9"/>
  <c r="E381" i="9"/>
  <c r="E377" i="9"/>
  <c r="E373" i="9"/>
  <c r="E369" i="9"/>
  <c r="E365" i="9"/>
  <c r="E361" i="9"/>
  <c r="E357" i="9"/>
  <c r="E353" i="9"/>
  <c r="E349" i="9"/>
  <c r="E345" i="9"/>
  <c r="E341" i="9"/>
  <c r="E337" i="9"/>
  <c r="E333" i="9"/>
  <c r="E329" i="9"/>
  <c r="E325" i="9"/>
  <c r="E321" i="9"/>
  <c r="E317" i="9"/>
  <c r="E313" i="9"/>
  <c r="E309" i="9"/>
  <c r="E305" i="9"/>
  <c r="E301" i="9"/>
  <c r="E297" i="9"/>
  <c r="E293" i="9"/>
  <c r="E289" i="9"/>
  <c r="E285" i="9"/>
  <c r="E281" i="9"/>
  <c r="E277" i="9"/>
  <c r="E273" i="9"/>
  <c r="E269" i="9"/>
  <c r="E265" i="9"/>
  <c r="E261" i="9"/>
  <c r="E257" i="9"/>
  <c r="E253" i="9"/>
  <c r="E249" i="9"/>
  <c r="E245" i="9"/>
  <c r="E241" i="9"/>
  <c r="E237" i="9"/>
  <c r="E233" i="9"/>
  <c r="E229" i="9"/>
  <c r="E225" i="9"/>
  <c r="E221" i="9"/>
  <c r="E217" i="9"/>
  <c r="E213" i="9"/>
  <c r="E209" i="9"/>
  <c r="E205" i="9"/>
  <c r="E201" i="9"/>
  <c r="E197" i="9"/>
  <c r="E193" i="9"/>
  <c r="E189" i="9"/>
  <c r="E185" i="9"/>
  <c r="E181" i="9"/>
  <c r="E177" i="9"/>
  <c r="E173" i="9"/>
  <c r="E169" i="9"/>
  <c r="E165" i="9"/>
  <c r="E161" i="9"/>
  <c r="E156" i="9"/>
  <c r="E150" i="9"/>
  <c r="E138" i="9"/>
  <c r="E320" i="9"/>
  <c r="E312" i="9"/>
  <c r="E304" i="9"/>
  <c r="E296" i="9"/>
  <c r="E292" i="9"/>
  <c r="E288" i="9"/>
  <c r="E284" i="9"/>
  <c r="E280" i="9"/>
  <c r="E276" i="9"/>
  <c r="E272" i="9"/>
  <c r="E268" i="9"/>
  <c r="E264" i="9"/>
  <c r="E260" i="9"/>
  <c r="E256" i="9"/>
  <c r="E252" i="9"/>
  <c r="E248" i="9"/>
  <c r="E244" i="9"/>
  <c r="E240" i="9"/>
  <c r="E236" i="9"/>
  <c r="E232" i="9"/>
  <c r="E228" i="9"/>
  <c r="E224" i="9"/>
  <c r="E220" i="9"/>
  <c r="E216" i="9"/>
  <c r="E212" i="9"/>
  <c r="E208" i="9"/>
  <c r="E204" i="9"/>
  <c r="E200" i="9"/>
  <c r="E196" i="9"/>
  <c r="E192" i="9"/>
  <c r="E188" i="9"/>
  <c r="E184" i="9"/>
  <c r="E180" i="9"/>
  <c r="E176" i="9"/>
  <c r="E172" i="9"/>
  <c r="E168" i="9"/>
  <c r="E164" i="9"/>
  <c r="E160" i="9"/>
  <c r="E154" i="9"/>
  <c r="E148" i="9"/>
  <c r="E134" i="9"/>
  <c r="E324" i="9"/>
  <c r="E316" i="9"/>
  <c r="E308" i="9"/>
  <c r="E300" i="9"/>
  <c r="E383" i="9"/>
  <c r="E379" i="9"/>
  <c r="E375" i="9"/>
  <c r="E371" i="9"/>
  <c r="E367" i="9"/>
  <c r="E363" i="9"/>
  <c r="E359" i="9"/>
  <c r="E355" i="9"/>
  <c r="E351" i="9"/>
  <c r="E347" i="9"/>
  <c r="E343" i="9"/>
  <c r="E339" i="9"/>
  <c r="E335" i="9"/>
  <c r="E331" i="9"/>
  <c r="E327" i="9"/>
  <c r="E323" i="9"/>
  <c r="E319" i="9"/>
  <c r="E315" i="9"/>
  <c r="E311" i="9"/>
  <c r="E307" i="9"/>
  <c r="E303" i="9"/>
  <c r="E299" i="9"/>
  <c r="E295" i="9"/>
  <c r="E291" i="9"/>
  <c r="E287" i="9"/>
  <c r="E283" i="9"/>
  <c r="E279" i="9"/>
  <c r="E275" i="9"/>
  <c r="E271" i="9"/>
  <c r="E267" i="9"/>
  <c r="E263" i="9"/>
  <c r="E259" i="9"/>
  <c r="E255" i="9"/>
  <c r="E251" i="9"/>
  <c r="E247" i="9"/>
  <c r="E243" i="9"/>
  <c r="E239" i="9"/>
  <c r="E235" i="9"/>
  <c r="E231" i="9"/>
  <c r="E227" i="9"/>
  <c r="E223" i="9"/>
  <c r="E219" i="9"/>
  <c r="E215" i="9"/>
  <c r="E211" i="9"/>
  <c r="E207" i="9"/>
  <c r="E203" i="9"/>
  <c r="E199" i="9"/>
  <c r="E195" i="9"/>
  <c r="E191" i="9"/>
  <c r="E187" i="9"/>
  <c r="E183" i="9"/>
  <c r="E179" i="9"/>
  <c r="E175" i="9"/>
  <c r="E171" i="9"/>
  <c r="E167" i="9"/>
  <c r="E163" i="9"/>
  <c r="E158" i="9"/>
  <c r="E153" i="9"/>
  <c r="E146" i="9"/>
  <c r="BF25" i="6"/>
  <c r="T54" i="11" l="1"/>
  <c r="T78" i="11"/>
  <c r="T72" i="11"/>
  <c r="F61" i="1"/>
  <c r="L24" i="3" s="1"/>
  <c r="L27" i="3" s="1"/>
  <c r="BD27" i="6"/>
  <c r="AQ27" i="6" s="1"/>
  <c r="B110" i="12"/>
  <c r="N48" i="11"/>
  <c r="T48" i="11"/>
  <c r="F44" i="1"/>
  <c r="Q279" i="5"/>
  <c r="F45" i="1"/>
  <c r="H24" i="3" s="1"/>
  <c r="H27" i="3" s="1"/>
  <c r="F240" i="5"/>
  <c r="BG9" i="6"/>
  <c r="B21" i="9" s="1"/>
  <c r="BF9" i="6"/>
  <c r="D44" i="1" l="1"/>
  <c r="Q240" i="5"/>
  <c r="Q46" i="3"/>
  <c r="P46" i="3" s="1"/>
  <c r="F404" i="5"/>
  <c r="F322" i="5"/>
  <c r="D45" i="1"/>
  <c r="D32" i="9" a="1"/>
  <c r="D32" i="9" s="1"/>
  <c r="E32" i="9" s="1" a="1"/>
  <c r="E32" i="9" s="1"/>
  <c r="D43" i="9" a="1"/>
  <c r="D43" i="9" s="1"/>
  <c r="E43" i="9" s="1" a="1"/>
  <c r="E43" i="9" s="1"/>
  <c r="D42" i="9" a="1"/>
  <c r="D42" i="9" s="1"/>
  <c r="E42" i="9" s="1" a="1"/>
  <c r="E42" i="9" s="1"/>
  <c r="D41" i="9" a="1"/>
  <c r="D41" i="9" s="1"/>
  <c r="E41" i="9" s="1" a="1"/>
  <c r="E41" i="9" s="1"/>
  <c r="D40" i="9" a="1"/>
  <c r="D40" i="9" s="1"/>
  <c r="E40" i="9" s="1" a="1"/>
  <c r="E40" i="9" s="1"/>
  <c r="D46" i="9" a="1"/>
  <c r="D46" i="9" s="1"/>
  <c r="E46" i="9" s="1" a="1"/>
  <c r="E46" i="9" s="1"/>
  <c r="D45" i="9" a="1"/>
  <c r="D45" i="9" s="1"/>
  <c r="E45" i="9" s="1" a="1"/>
  <c r="E45" i="9" s="1"/>
  <c r="D44" i="9" a="1"/>
  <c r="D44" i="9" s="1"/>
  <c r="E44" i="9" s="1" a="1"/>
  <c r="E44" i="9" s="1"/>
  <c r="D39" i="9" a="1"/>
  <c r="D39" i="9" s="1"/>
  <c r="E39" i="9" s="1" a="1"/>
  <c r="E39" i="9" s="1"/>
  <c r="D38" i="9" a="1"/>
  <c r="D38" i="9" s="1"/>
  <c r="E38" i="9" s="1" a="1"/>
  <c r="E38" i="9" s="1"/>
  <c r="D34" i="9" a="1"/>
  <c r="D34" i="9" s="1"/>
  <c r="E34" i="9" s="1" a="1"/>
  <c r="E34" i="9" s="1"/>
  <c r="D29" i="9" a="1"/>
  <c r="D29" i="9" s="1"/>
  <c r="E29" i="9" s="1" a="1"/>
  <c r="E29" i="9" s="1"/>
  <c r="D25" i="9" a="1"/>
  <c r="D25" i="9" s="1"/>
  <c r="E25" i="9" s="1" a="1"/>
  <c r="E25" i="9" s="1"/>
  <c r="D24" i="9" a="1"/>
  <c r="D24" i="9" s="1"/>
  <c r="E24" i="9" s="1" a="1"/>
  <c r="E24" i="9" s="1"/>
  <c r="D28" i="9" a="1"/>
  <c r="D28" i="9" s="1"/>
  <c r="E28" i="9" s="1" a="1"/>
  <c r="E28" i="9" s="1"/>
  <c r="D26" i="9" a="1"/>
  <c r="D26" i="9" s="1"/>
  <c r="E26" i="9" s="1" a="1"/>
  <c r="E26" i="9" s="1"/>
  <c r="D23" i="9" a="1"/>
  <c r="D23" i="9" s="1"/>
  <c r="E23" i="9" s="1"/>
  <c r="D31" i="9" a="1"/>
  <c r="D31" i="9" s="1"/>
  <c r="E31" i="9" s="1" a="1"/>
  <c r="E31" i="9" s="1"/>
  <c r="D27" i="9" a="1"/>
  <c r="D27" i="9" s="1"/>
  <c r="E27" i="9" s="1" a="1"/>
  <c r="E27" i="9" s="1"/>
  <c r="D37" i="9" a="1"/>
  <c r="D37" i="9" s="1"/>
  <c r="E37" i="9" s="1" a="1"/>
  <c r="E37" i="9" s="1"/>
  <c r="D36" i="9" a="1"/>
  <c r="D36" i="9" s="1"/>
  <c r="E36" i="9" s="1" a="1"/>
  <c r="E36" i="9" s="1"/>
  <c r="D35" i="9" a="1"/>
  <c r="D35" i="9" s="1"/>
  <c r="E35" i="9" s="1" a="1"/>
  <c r="E35" i="9" s="1"/>
  <c r="D33" i="9" a="1"/>
  <c r="D33" i="9" s="1"/>
  <c r="E33" i="9" s="1"/>
  <c r="D30" i="9" a="1"/>
  <c r="D30" i="9" s="1"/>
  <c r="E30" i="9" s="1"/>
  <c r="B5" i="12" l="1"/>
  <c r="J8" i="10"/>
  <c r="D52" i="1"/>
  <c r="Q322" i="5"/>
  <c r="D60" i="1"/>
  <c r="Q404" i="5"/>
  <c r="P68" i="3"/>
  <c r="M13" i="1"/>
  <c r="F37" i="12" s="1"/>
  <c r="D61" i="1"/>
  <c r="D53" i="1"/>
  <c r="BD118" i="6" l="1"/>
  <c r="D7" i="1"/>
  <c r="F7" i="1"/>
  <c r="B8" i="1" l="1"/>
  <c r="P8" i="3"/>
  <c r="B8" i="3" s="1"/>
  <c r="B4" i="12"/>
  <c r="J7" i="10"/>
  <c r="F7" i="10"/>
  <c r="F20" i="1"/>
  <c r="F46" i="1"/>
  <c r="M8" i="1"/>
  <c r="L13" i="1" s="1"/>
  <c r="F27" i="1"/>
  <c r="D21" i="3" s="1"/>
  <c r="F62" i="1"/>
  <c r="L21" i="3" s="1"/>
  <c r="F34" i="1"/>
  <c r="F21" i="3" s="1"/>
  <c r="R10" i="3" l="1"/>
  <c r="B59" i="3"/>
  <c r="P59" i="3" s="1"/>
  <c r="S8" i="3"/>
  <c r="B21" i="3"/>
  <c r="B22" i="3" s="1"/>
  <c r="B29" i="3" s="1"/>
  <c r="B81" i="12" s="1"/>
  <c r="H20" i="1"/>
  <c r="C16" i="3"/>
  <c r="Q10" i="3"/>
  <c r="F63" i="1"/>
  <c r="H63" i="1" s="1"/>
  <c r="F47" i="1"/>
  <c r="H47" i="1" s="1"/>
  <c r="F35" i="1"/>
  <c r="H35" i="1" s="1"/>
  <c r="F21" i="1"/>
  <c r="H21" i="1" s="1"/>
  <c r="H27" i="1"/>
  <c r="M27" i="1"/>
  <c r="F28" i="1"/>
  <c r="M28" i="1" s="1"/>
  <c r="D22" i="3"/>
  <c r="H46" i="1"/>
  <c r="H21" i="3"/>
  <c r="H22" i="3" s="1"/>
  <c r="L22" i="3"/>
  <c r="M46" i="1"/>
  <c r="H34" i="1"/>
  <c r="F22" i="3" s="1"/>
  <c r="M62" i="1"/>
  <c r="H62" i="1"/>
  <c r="M34" i="1"/>
  <c r="M20" i="1"/>
  <c r="H30" i="3" l="1"/>
  <c r="H29" i="3"/>
  <c r="E81" i="12" s="1"/>
  <c r="F30" i="3"/>
  <c r="F29" i="3"/>
  <c r="D81" i="12" s="1"/>
  <c r="B30" i="3"/>
  <c r="B31" i="3" s="1"/>
  <c r="B54" i="12" s="1"/>
  <c r="S10" i="3"/>
  <c r="S93" i="3" s="1"/>
  <c r="Q16" i="3"/>
  <c r="L16" i="3" s="1"/>
  <c r="D30" i="3"/>
  <c r="D29" i="3"/>
  <c r="C81" i="12" s="1"/>
  <c r="N29" i="1"/>
  <c r="H28" i="1"/>
  <c r="L31" i="3"/>
  <c r="G54" i="12" s="1"/>
  <c r="M35" i="1"/>
  <c r="N36" i="1" s="1"/>
  <c r="M21" i="1"/>
  <c r="N22" i="1" s="1"/>
  <c r="M47" i="1"/>
  <c r="N48" i="1" s="1"/>
  <c r="M63" i="1"/>
  <c r="N64" i="1" s="1"/>
  <c r="B7" i="12" l="1"/>
  <c r="F10" i="10"/>
  <c r="I81" i="12"/>
  <c r="H10" i="3"/>
  <c r="J31" i="3"/>
  <c r="F54" i="12" s="1"/>
  <c r="F64" i="1"/>
  <c r="H64" i="1"/>
  <c r="F48" i="1"/>
  <c r="H48" i="1"/>
  <c r="F36" i="1"/>
  <c r="H36" i="1"/>
  <c r="F29" i="1"/>
  <c r="H29" i="1"/>
  <c r="F22" i="1"/>
  <c r="H22" i="1"/>
  <c r="C40" i="12"/>
  <c r="F31" i="3"/>
  <c r="D54" i="12" s="1"/>
  <c r="B33" i="3"/>
  <c r="D11" i="12" s="1"/>
  <c r="D18" i="12" s="1"/>
  <c r="D31" i="3"/>
  <c r="C54" i="12" s="1"/>
  <c r="H31" i="3"/>
  <c r="E54" i="12" s="1"/>
  <c r="E40" i="12"/>
  <c r="D40" i="12"/>
  <c r="B40" i="12"/>
  <c r="G40" i="12"/>
  <c r="I54" i="12" l="1"/>
  <c r="D55" i="12" s="1"/>
  <c r="B34" i="3"/>
  <c r="C55" i="12" l="1"/>
  <c r="E55" i="12"/>
  <c r="G55" i="12"/>
  <c r="B55" i="12"/>
  <c r="F55" i="12"/>
  <c r="P56" i="3"/>
  <c r="P69" i="3" s="1"/>
  <c r="Q88" i="3"/>
  <c r="H88" i="3" s="1"/>
  <c r="B69" i="3" l="1"/>
  <c r="F51" i="12" s="1"/>
  <c r="B74" i="3"/>
  <c r="I55" i="12"/>
  <c r="B76" i="3"/>
  <c r="B78" i="3" l="1"/>
  <c r="P80" i="3" s="1"/>
  <c r="B82" i="3" s="1"/>
  <c r="C6" i="10" l="1"/>
  <c r="B80" i="3"/>
  <c r="I57" i="12" l="1"/>
  <c r="F355" i="5"/>
  <c r="G355" i="5"/>
  <c r="G370" i="5" s="1"/>
  <c r="F372" i="5" s="1"/>
  <c r="F57" i="12" l="1"/>
  <c r="P355" i="5"/>
  <c r="P316" i="5"/>
  <c r="N294" i="5"/>
  <c r="O294" i="5" s="1"/>
  <c r="L355" i="5"/>
  <c r="K360" i="5" s="1"/>
  <c r="L360" i="5" s="1"/>
  <c r="L361" i="5" s="1"/>
  <c r="P361" i="5" s="1"/>
  <c r="F359" i="5"/>
  <c r="P317" i="5" l="1"/>
  <c r="I294" i="5"/>
  <c r="P356" i="5"/>
  <c r="I360" i="5" s="1"/>
  <c r="F361" i="5"/>
  <c r="Q361" i="5" s="1"/>
  <c r="Q456" i="5" s="1"/>
  <c r="D6" i="12" s="1"/>
  <c r="I321" i="5" l="1"/>
  <c r="I319" i="5"/>
  <c r="P357" i="5"/>
  <c r="I355" i="5" s="1"/>
  <c r="P318" i="5"/>
  <c r="I316" i="5" s="1"/>
  <c r="F53" i="1"/>
  <c r="J24" i="3" s="1"/>
  <c r="J27" i="3" s="1"/>
  <c r="F52" i="1"/>
  <c r="F54" i="1" s="1"/>
  <c r="P456" i="5" l="1"/>
  <c r="J21" i="3"/>
  <c r="J22" i="3" s="1"/>
  <c r="H54" i="1"/>
  <c r="M54" i="1"/>
  <c r="F55" i="1"/>
  <c r="M55" i="1" s="1"/>
  <c r="B6" i="12" l="1"/>
  <c r="J9" i="10"/>
  <c r="J12" i="10" s="1"/>
  <c r="N56" i="1"/>
  <c r="H55" i="1"/>
  <c r="F56" i="1" l="1"/>
  <c r="H56" i="1"/>
  <c r="F40" i="12" l="1"/>
  <c r="J66" i="1"/>
  <c r="C5" i="10" l="1"/>
  <c r="I43" i="12"/>
  <c r="I40" i="12"/>
  <c r="F41" i="12" s="1"/>
  <c r="E41" i="12" l="1"/>
  <c r="D41" i="12"/>
  <c r="G41" i="12"/>
  <c r="B41" i="12"/>
  <c r="C41" i="12"/>
  <c r="C7" i="10"/>
  <c r="H7" i="10" l="1"/>
  <c r="I58" i="12"/>
  <c r="C8" i="10"/>
  <c r="I41" i="12"/>
  <c r="F58" i="12" l="1"/>
  <c r="F43" i="12"/>
  <c r="C11" i="10"/>
  <c r="C12" i="10" l="1"/>
  <c r="H12" i="10" s="1"/>
  <c r="I75" i="12"/>
  <c r="G60" i="12"/>
  <c r="B60" i="12"/>
  <c r="E60" i="12"/>
  <c r="F60" i="12"/>
  <c r="C60" i="12"/>
  <c r="D60" i="12"/>
  <c r="C15" i="10" l="1"/>
  <c r="I76" i="12"/>
  <c r="I60" i="12"/>
  <c r="I61" i="12" s="1"/>
  <c r="I12" i="10" l="1"/>
  <c r="C18" i="10"/>
  <c r="D12" i="12" s="1"/>
  <c r="D13" i="12" s="1"/>
  <c r="G61" i="12"/>
  <c r="G62" i="12" s="1"/>
  <c r="F61" i="12"/>
  <c r="F62" i="12" s="1"/>
  <c r="C61" i="12"/>
  <c r="C62" i="12" s="1"/>
  <c r="E61" i="12"/>
  <c r="E62" i="12" s="1"/>
  <c r="D61" i="12"/>
  <c r="D62" i="12" s="1"/>
  <c r="B61" i="12"/>
  <c r="B62" i="12" s="1"/>
  <c r="D16" i="12" l="1"/>
  <c r="C18" i="12" s="1"/>
  <c r="I18" i="10"/>
  <c r="F78" i="12" s="1"/>
  <c r="H8" i="10"/>
  <c r="I96" i="12"/>
  <c r="I62" i="12"/>
  <c r="H5" i="10" l="1"/>
  <c r="I78" i="12"/>
  <c r="F44" i="12"/>
  <c r="I44" i="12" s="1"/>
  <c r="F64" i="12"/>
  <c r="E66" i="12" s="1"/>
  <c r="H6" i="10"/>
  <c r="E46" i="12" l="1"/>
  <c r="G46" i="12"/>
  <c r="G83" i="12"/>
  <c r="C83" i="12"/>
  <c r="F83" i="12"/>
  <c r="B83" i="12"/>
  <c r="D83" i="12"/>
  <c r="E83" i="12"/>
  <c r="D46" i="12"/>
  <c r="F66" i="12"/>
  <c r="B66" i="12"/>
  <c r="C66" i="12"/>
  <c r="F46" i="12"/>
  <c r="B46" i="12"/>
  <c r="G66" i="12"/>
  <c r="C46" i="12"/>
  <c r="D66" i="12"/>
  <c r="I64" i="12"/>
  <c r="I83" i="12" l="1"/>
  <c r="I85" i="12" s="1"/>
  <c r="I46" i="12"/>
  <c r="I47" i="12" s="1"/>
  <c r="D47" i="12" s="1"/>
  <c r="D48" i="12" s="1"/>
  <c r="I66" i="12"/>
  <c r="I67" i="12" s="1"/>
  <c r="D67" i="12" s="1"/>
  <c r="D68" i="12" s="1"/>
  <c r="F47" i="12" l="1"/>
  <c r="F48" i="12" s="1"/>
  <c r="C47" i="12"/>
  <c r="C48" i="12" s="1"/>
  <c r="G47" i="12"/>
  <c r="G48" i="12" s="1"/>
  <c r="E47" i="12"/>
  <c r="E48" i="12" s="1"/>
  <c r="B47" i="12"/>
  <c r="B48" i="12" s="1"/>
  <c r="F67" i="12"/>
  <c r="F68" i="12" s="1"/>
  <c r="E67" i="12"/>
  <c r="E68" i="12" s="1"/>
  <c r="B67" i="12"/>
  <c r="B68" i="12" s="1"/>
  <c r="D85" i="12"/>
  <c r="D86" i="12" s="1"/>
  <c r="D93" i="12" s="1"/>
  <c r="D33" i="12" s="1"/>
  <c r="D34" i="12" s="1"/>
  <c r="B85" i="12"/>
  <c r="B86" i="12" s="1"/>
  <c r="C85" i="12"/>
  <c r="C86" i="12" s="1"/>
  <c r="G85" i="12"/>
  <c r="G86" i="12" s="1"/>
  <c r="F85" i="12"/>
  <c r="F86" i="12" s="1"/>
  <c r="E85" i="12"/>
  <c r="E86" i="12" s="1"/>
  <c r="C67" i="12"/>
  <c r="C68" i="12" s="1"/>
  <c r="G67" i="12"/>
  <c r="G68" i="12" s="1"/>
  <c r="I48" i="12" l="1"/>
  <c r="B105" i="12" s="1"/>
  <c r="E93" i="12"/>
  <c r="E33" i="12" s="1"/>
  <c r="E34" i="12" s="1"/>
  <c r="B93" i="12"/>
  <c r="B33" i="12" s="1"/>
  <c r="B34" i="12" s="1"/>
  <c r="F93" i="12"/>
  <c r="F33" i="12" s="1"/>
  <c r="F34" i="12" s="1"/>
  <c r="G93" i="12"/>
  <c r="G33" i="12" s="1"/>
  <c r="G34" i="12" s="1"/>
  <c r="I68" i="12"/>
  <c r="B106" i="12" s="1"/>
  <c r="C93" i="12"/>
  <c r="C33" i="12" s="1"/>
  <c r="C34" i="12" s="1"/>
  <c r="I86" i="12"/>
  <c r="B107" i="12" s="1"/>
  <c r="I95" i="12" l="1"/>
  <c r="I97" i="12" s="1"/>
  <c r="I93" i="12"/>
</calcChain>
</file>

<file path=xl/sharedStrings.xml><?xml version="1.0" encoding="utf-8"?>
<sst xmlns="http://schemas.openxmlformats.org/spreadsheetml/2006/main" count="4507" uniqueCount="2275">
  <si>
    <t>a) Erdgas</t>
  </si>
  <si>
    <t>Jahresverbrauch in kWh</t>
  </si>
  <si>
    <t>Handelseinheit</t>
  </si>
  <si>
    <t>Voraussichtlicher Leistungsbetrag
vor Höchstbetrag</t>
  </si>
  <si>
    <t>Durchschnittseinkaufspreis pro kWh</t>
  </si>
  <si>
    <t>Strom</t>
  </si>
  <si>
    <t>Auswahlliste 1</t>
  </si>
  <si>
    <t>Auswahlliste 2</t>
  </si>
  <si>
    <t>Kilogramm (kg)</t>
  </si>
  <si>
    <t>Tonne (t)</t>
  </si>
  <si>
    <t>Kubikmeter (m³)</t>
  </si>
  <si>
    <t>Liter (l)</t>
  </si>
  <si>
    <t>Ja</t>
  </si>
  <si>
    <t>Nein</t>
  </si>
  <si>
    <t>Zentner (ztr)</t>
  </si>
  <si>
    <t>Holz: Festmeter</t>
  </si>
  <si>
    <t>Holz: Raummeter</t>
  </si>
  <si>
    <t>Holz: Schüttraummeter</t>
  </si>
  <si>
    <t>Gesamte Energiekosten (alle Energieträger)</t>
  </si>
  <si>
    <t>Hinweise/Berechnungsergebnisse</t>
  </si>
  <si>
    <t>Ergebnis:</t>
  </si>
  <si>
    <t>Erdgas</t>
  </si>
  <si>
    <t>2/12 des Jahresverbauchs 2022 multipliziert mit dem durchschnittlichen Einkaufspreis 2022</t>
  </si>
  <si>
    <t>1/12 des Jahresverbauchs 2022 multipliziert mit dem durchschnittlichen Einkaufspreis 2022</t>
  </si>
  <si>
    <t>Rechtsformen</t>
  </si>
  <si>
    <t>Offene Handelsgesellschaft (OHG)</t>
  </si>
  <si>
    <t>Kommanditgesellschaft (KG)</t>
  </si>
  <si>
    <t>Gesellschaft mit beschränkter Haftung &amp; Co. Kommanditgesellschaft (GmbH &amp; Co. KG)</t>
  </si>
  <si>
    <t>nicht eingetragene Gesellschaft des bürgerlichen Rechts (nicht eingetragene GbR)</t>
  </si>
  <si>
    <t>eingetragene Gesellschaft des bürgerlichen Rechts (eGbR)</t>
  </si>
  <si>
    <t>Partnerschaftsgesellschaft (PartG)</t>
  </si>
  <si>
    <t>eingetragener Verein (e.V.)</t>
  </si>
  <si>
    <t>Wirtschaftlicher Verein</t>
  </si>
  <si>
    <t>Versicherungsverein auf Gegenseitigkeit (VVaG)</t>
  </si>
  <si>
    <t>Gesellschaft mit beschränkter Haftung (GmbH)</t>
  </si>
  <si>
    <t>gemeinnützige Gesellschaft mit beschränkter Haftung (gGmbH)</t>
  </si>
  <si>
    <t>Unternehmergesellschaft (haftungsbeschränkt) (UG (haftungsbeschränkt))</t>
  </si>
  <si>
    <t>Aktiengesellschaft (AG)</t>
  </si>
  <si>
    <t>Investmentaktiengesellschaft (InvAG)</t>
  </si>
  <si>
    <t>Europäische Aktiengesellschaft (SE)</t>
  </si>
  <si>
    <t>Kommanditgesellschaft auf Aktien (KGaA)</t>
  </si>
  <si>
    <t>rechtsfähige Stiftung des Privatrechts</t>
  </si>
  <si>
    <t>rechtsfähige Stiftung des öffentlichen Rechts</t>
  </si>
  <si>
    <t>eingetragene Genossenschaft (eG)</t>
  </si>
  <si>
    <t>Gemeinschaft (z.B. Erben-, Grundstücks-, Haushalts-)</t>
  </si>
  <si>
    <t>Register</t>
  </si>
  <si>
    <t>Sonstige</t>
  </si>
  <si>
    <t>Nr</t>
  </si>
  <si>
    <t>Natürliche Person (ohne Eintragung ins Handelsregister)</t>
  </si>
  <si>
    <t>Natürliche Person (mit Eintragung ins Handelsregister, e. K.)</t>
  </si>
  <si>
    <t>Eingabe</t>
  </si>
  <si>
    <t>Sonstige Rechtsform</t>
  </si>
  <si>
    <t>Steuernummer</t>
  </si>
  <si>
    <t>Ertragsbesteuerung (ESt, KSt, GewStMB)</t>
  </si>
  <si>
    <t>Ertrags- und Umsatzbesteuerung</t>
  </si>
  <si>
    <t>Umsatzbesteuerung</t>
  </si>
  <si>
    <t>Gesonderte (u. einheitl.) Feststellung</t>
  </si>
  <si>
    <t>Ausländische Rechtsform</t>
  </si>
  <si>
    <t>Wirtschaftszweig</t>
  </si>
  <si>
    <t>S – ERBRINGUNG VON SONSTIGEN DIENSTLEISTUNGEN</t>
  </si>
  <si>
    <t>96 Erbringung von sonstigen überwiegend persönlichen Dienstleistungen</t>
  </si>
  <si>
    <t>Abschnitt:</t>
  </si>
  <si>
    <t>Abschnitte</t>
  </si>
  <si>
    <t>Gruppe:</t>
  </si>
  <si>
    <t>Klasse:</t>
  </si>
  <si>
    <t>Auswahl</t>
  </si>
  <si>
    <t>.</t>
  </si>
  <si>
    <t xml:space="preserve">Ausgewählter </t>
  </si>
  <si>
    <t>Wirtschaftszweig:</t>
  </si>
  <si>
    <t>Vollzeiteinheiten</t>
  </si>
  <si>
    <t>Größeneinteilung</t>
  </si>
  <si>
    <t>Liegen weitere Tätigkeitsschwerpunkte vor (Mischbetrieb)?</t>
  </si>
  <si>
    <t>Gruppe</t>
  </si>
  <si>
    <t>Obergruppe</t>
  </si>
  <si>
    <t>01.1 - Anbau einjähriger Pflanzen</t>
  </si>
  <si>
    <t>02.1 - Forstwirtschaft</t>
  </si>
  <si>
    <t>03.1 - Fischerei</t>
  </si>
  <si>
    <t>05.1 - Steinkohlenbergbau</t>
  </si>
  <si>
    <t>06.1 - Gewinnung von Erdöl</t>
  </si>
  <si>
    <t>07.1 - Eisenerzbergbau</t>
  </si>
  <si>
    <t>08.1 - Gewinnung von Natursteinen, Kies, Sand, Ton und Kaolin</t>
  </si>
  <si>
    <t>09.1 - Erbringung von Dienstleistungen für die Gewinnung von Erdöl und Erdgas</t>
  </si>
  <si>
    <t>10.1 - Schlachten und Fleischverarbeitung</t>
  </si>
  <si>
    <t>13.1 - Spinnstoffaufbereitung und Spinnerei</t>
  </si>
  <si>
    <t>14.1 - Herstellung von Bekleidung (ohne Pelzbekleidung)</t>
  </si>
  <si>
    <t>15.1 - Herstellung von Leder und Lederwaren (ohne Herstellung von Lederbekleidung)</t>
  </si>
  <si>
    <t>16.1 - Säge-, Hobel- und Holzimprägnierwerke</t>
  </si>
  <si>
    <t>17.1 - Herstellung von Holz- und Zellstoff, Papier, Karton und Pappe</t>
  </si>
  <si>
    <t>18.1 - Herstellung von Druckerzeugnissen</t>
  </si>
  <si>
    <t>19.1 - Kokerei</t>
  </si>
  <si>
    <t>20.1 - Herstellung von chemischen Grundstoffen, Düngemitteln und Stickstoffverbindungen, Kunststoffen in Primärformen und synthetischem Kautschuk in Primärformen</t>
  </si>
  <si>
    <t>21.1 - Herstellung von pharmazeutischen Grundstoffen</t>
  </si>
  <si>
    <t>22.1 - Herstellung von Gummiwaren</t>
  </si>
  <si>
    <t>23.1 - Herstellung von Glas und Glaswaren</t>
  </si>
  <si>
    <t>24.1 - Erzeugung von Roheisen, Stahl und Ferrolegierungen</t>
  </si>
  <si>
    <t>25.1 - Stahl- und Leichtmetallbau</t>
  </si>
  <si>
    <t>26.1 - Herstellung von elektronischen Bauelementen und Leiterplatten</t>
  </si>
  <si>
    <t>27.1 - Herstellung von Elektromotoren, Generatoren, Transformatoren, Elektrizitätsverteilungs- und schalteinrichtungen</t>
  </si>
  <si>
    <t>28.1 - Herstellung von nicht wirtschaftszweigspezifischen Maschinen</t>
  </si>
  <si>
    <t>29.1 - Herstellung von Kraftwagen und Kraftwagenmotoren</t>
  </si>
  <si>
    <t>30.1 - Schiff- und Bootsbau</t>
  </si>
  <si>
    <t>01.2 - Anbau mehrjähriger Pflanzen</t>
  </si>
  <si>
    <t>02.2 - Holzeinschlag</t>
  </si>
  <si>
    <t>03.2 - Aquakultur</t>
  </si>
  <si>
    <t>05.2 - Braunkohlenbergbau</t>
  </si>
  <si>
    <t>06.2 - Gewinnung von Erdgas</t>
  </si>
  <si>
    <t>07.2 - NE-Metallerzbergbau</t>
  </si>
  <si>
    <t>10.2 - Fischverarbeitung</t>
  </si>
  <si>
    <t>13.2 - Weberei</t>
  </si>
  <si>
    <t>14.2 - Herstellung von Pelzwaren</t>
  </si>
  <si>
    <t>15.2 - Herstellung von Schuhen</t>
  </si>
  <si>
    <t>16.2 - Herstellung von sonstigen Holz-, Kork-, Flecht- und Korbwaren (ohne Möbel)</t>
  </si>
  <si>
    <t>17.2 - Herstellung von Waren aus Papier, Karton und Pappe</t>
  </si>
  <si>
    <t>18.2 - Vervielfältigung von bespielten Ton-, Bild- und Datenträgern</t>
  </si>
  <si>
    <t>19.2 - Mineralölverarbeitung</t>
  </si>
  <si>
    <t>20.2 - Herstellung von Schädlingsbekämpfungs-, Pflanzenschutz- und Desinfektionsmitteln</t>
  </si>
  <si>
    <t>21.2 - Herstellung von pharmazeutischen Spezialitäten und sonstigen pharmazeutischen Erzeugnissen</t>
  </si>
  <si>
    <t>22.2 - Herstellung von Kunststoffwaren</t>
  </si>
  <si>
    <t>23.2 - Herstellung von feuerfesten keramischen Werkstoffen und Waren</t>
  </si>
  <si>
    <t>24.2 - Herstellung von Stahlrohren, Rohrform-, Rohrverschluss- und Rohrverbindungsstücken aus Stahl</t>
  </si>
  <si>
    <t>25.2 - Herstellung von Metalltanks und -behältern; Herstellung von Heizkörpern und -kesseln für Zentralheizungen</t>
  </si>
  <si>
    <t>26.2 - Herstellung von Datenverarbeitungsgeräten und peripheren Geräten</t>
  </si>
  <si>
    <t>27.2 - Herstellung von Batterien und Akkumulatoren</t>
  </si>
  <si>
    <t>28.2 - Herstellung von sonstigen nicht wirtschaftszweigspezifischen Maschinen</t>
  </si>
  <si>
    <t>01.3 - Betrieb von Baumschulen, sowie Anbau von Pflanzen zu Vermehrungszwecken</t>
  </si>
  <si>
    <t>02.3 - Sammeln von wild wachsenden Produkten (ohne Holz)</t>
  </si>
  <si>
    <t>10.3 - Obst- und Gemüseverarbeitung</t>
  </si>
  <si>
    <t>13.3 - Veredlung von Textilien und Bekleidung</t>
  </si>
  <si>
    <t>14.3 - Herstellung von Bekleidung aus gewirktem und gestricktem Stoff</t>
  </si>
  <si>
    <t>20.3 - Herstellung von Anstrichmitteln, Druckfarben und Kitten</t>
  </si>
  <si>
    <t>23.3 - Herstellung von keramischen Baumaterialien</t>
  </si>
  <si>
    <t>24.3 - Sonstige erste Bearbeitung von Eisen und Stahl</t>
  </si>
  <si>
    <t>25.3 - Herstellung von Dampfkesseln (ohne Zentralheizungskessel)</t>
  </si>
  <si>
    <t>26.3 - Herstellung von Geräten und Einrichtungen der Telekommunikationstechnik</t>
  </si>
  <si>
    <t>27.3 - Herstellung von Kabeln und elektrischem Installationsmaterial</t>
  </si>
  <si>
    <t>28.3 - Herstellung von land- und forstwirtschaftlichen Maschinen</t>
  </si>
  <si>
    <t>29.3 - Herstellung von Teilen und Zubehör für Kraftwagen</t>
  </si>
  <si>
    <t>30.3 - Luft- und Raumfahrzeugbau</t>
  </si>
  <si>
    <t>01.4 - Tierhaltung</t>
  </si>
  <si>
    <t>02.4 - Erbringung von Dienstleistungen für Forstwirtschaft und Holzeinschlag</t>
  </si>
  <si>
    <t>10.4 - Herstellung von pflanzlichen und tierischen Ölen und Fetten</t>
  </si>
  <si>
    <t>20.4 - Herstellung von Seifen, Wasch-, Reinigungs- und Körperpflegemitteln sowie von Duftstoffen</t>
  </si>
  <si>
    <t>23.4 - Herstellung von sonstigen Porzellan- und keramischen Erzeugnissen</t>
  </si>
  <si>
    <t>24.4 - Erzeugung und erste Bearbeitung von NE-Metallen</t>
  </si>
  <si>
    <t>25.4 - Herstellung von Waffen und Munition</t>
  </si>
  <si>
    <t>26.4 - Herstellung von Geräten der Unterhaltungselektronik</t>
  </si>
  <si>
    <t>27.4 - Herstellung von elektrischen Lampen und Leuchten</t>
  </si>
  <si>
    <t>28.4 - Herstellung von Werkzeugmaschinen</t>
  </si>
  <si>
    <t>30.4 - Herstellung von militärischen Kampffahrzeugen</t>
  </si>
  <si>
    <t>01.5 - Gemischte Landwirtschaft</t>
  </si>
  <si>
    <t>10.5 - Milchverarbeitung</t>
  </si>
  <si>
    <t>20.5 - Herstellung von sonstigen chemischen Erzeugnissen</t>
  </si>
  <si>
    <t>23.5 - Herstellung von Zement, Kalk und gebranntem Gips</t>
  </si>
  <si>
    <t>24.5 - Gießereien</t>
  </si>
  <si>
    <t>25.5 - Herstellung von Schmiede-, Press-, Zieh- und Stanzteilen, gewalzten Ringen und pulvermetallurgischen Erzeugnissen</t>
  </si>
  <si>
    <t>26.5 - Herstellung von Mess-, Kontroll-, Navigations- u. ä. Instrumenten und Vorrichtungen; Herstellung von Uhren</t>
  </si>
  <si>
    <t>27.5 - Herstellung von Haushaltsgeräten</t>
  </si>
  <si>
    <t>01.6 - Erbringung von landwirtschaftlichen Dienstleistungen</t>
  </si>
  <si>
    <t>10.6 - Mahl- und Schälmühlen, Herstellung von Stärke und Stärkeerzeugnissen</t>
  </si>
  <si>
    <t>20.6 - Herstellung von Chemiefasern</t>
  </si>
  <si>
    <t>23.6 - Herstellung von Erzeugnissen aus Beton, Zement und Gips</t>
  </si>
  <si>
    <t>25.6 - Oberflächenveredlung und Wärmebehandlung; Mechanik a. n. g.</t>
  </si>
  <si>
    <t>26.6 - Herstellung von Bestrahlungs- und Elektrotherapiegeräten und elektromedizinischen Geräten</t>
  </si>
  <si>
    <t>01.7 - Jagd, Fallenstellerei und damit verbundene Tätigkeiten</t>
  </si>
  <si>
    <t>10.7 - Herstellung von Back- und Teigwaren</t>
  </si>
  <si>
    <t>23.7 - Be- und Verarbeitung von Naturwerksteinen und Natursteinen a. n. g.</t>
  </si>
  <si>
    <t>25.7 - Herstellung von Schneidwaren, Werkzeugen, Schlössern und Beschlägen aus unedlen Metallen</t>
  </si>
  <si>
    <t>26.7 - Herstellung von optischen und fotografischen Instrumenten und Geräten</t>
  </si>
  <si>
    <t>10.8 - Herstellung von sonstigen Nahrungsmitteln</t>
  </si>
  <si>
    <t>26.8 - Herstellung von magnetischen und optischen Datenträgern</t>
  </si>
  <si>
    <t>08.9 - Sonstiger Bergbau; Gewinnung von Steinen und Erden a. n. g.</t>
  </si>
  <si>
    <t>09.9 - Erbringung von Dienstleistungen für den sonstigen Bergbau und die Gewinnung von Steinen und Erden</t>
  </si>
  <si>
    <t>10.9 - Herstellung von Futtermitteln</t>
  </si>
  <si>
    <t>13.9 - Herstellung von sonstigen Textilwaren</t>
  </si>
  <si>
    <t>23.9 - Herstellung von Schleifkörpern und Schleifmitteln auf Unterlage sowie sonstigen Erzeugnissen aus nichtmetallischen Mineralien a. n. g.</t>
  </si>
  <si>
    <t>25.9 - Herstellung von sonstigen Metallwaren</t>
  </si>
  <si>
    <t>27.9 - Herstellung von sonstigen elektrischen Ausrüstungen und Geräten a. n. g.</t>
  </si>
  <si>
    <t>28.9 - Herstellung von Maschinen für sonstige bestimmte Wirtschaftszweige</t>
  </si>
  <si>
    <t>30.9 - Herstellung von Fahrzeugen a. n. g.</t>
  </si>
  <si>
    <t>11.0 - Getränkeherstellung</t>
  </si>
  <si>
    <t>12.0 - Tabakverarbeitung</t>
  </si>
  <si>
    <t>29.2 - Herstellung von Karosserien, Aufbauten und Anhängern</t>
  </si>
  <si>
    <t>30.2 - Schienenfahrzeugbau</t>
  </si>
  <si>
    <t>31.0 - Herstellung von Möbeln</t>
  </si>
  <si>
    <t>32.1 - Herstellung von Münzen, Schmuck und ähnlichen Erzeugnissen</t>
  </si>
  <si>
    <t>32.2 - Herstellung von Musikinstrumenten</t>
  </si>
  <si>
    <t>32.3 - Herstellung von Sportgeräten</t>
  </si>
  <si>
    <t>32.4 - Herstellung von Spielwaren</t>
  </si>
  <si>
    <t>32.5 - Herstellung von medizinischen und zahnmedizinischen Apparaten und Materialien</t>
  </si>
  <si>
    <t>32.9 - Herstellung von Erzeugnissen a. n. g.</t>
  </si>
  <si>
    <t>33.1 - Reparatur von Metallerzeugnissen, Maschinen und Ausrüstungen</t>
  </si>
  <si>
    <t>33.2 - Installation von Maschinen und Ausrüstungen a. n. g.</t>
  </si>
  <si>
    <t>35.1 - Elektrizitätsversorgung</t>
  </si>
  <si>
    <t>35.2 - Gasversorgung</t>
  </si>
  <si>
    <t>35.3 - Wärme- und Kälteversorgung</t>
  </si>
  <si>
    <t>36.0 - Wasserversorgung</t>
  </si>
  <si>
    <t>37.0 - Abwasserentsorgung</t>
  </si>
  <si>
    <t>38.1 - Sammlung von Abfällen</t>
  </si>
  <si>
    <t>38.2 - Abfallbehandlung und -beseitigung</t>
  </si>
  <si>
    <t>38.3 - Rückgewinnung</t>
  </si>
  <si>
    <t>39.0 - Beseitigung von Umweltverschmutzungen und sonstige Entsorgung</t>
  </si>
  <si>
    <t>41.1 - Erschließung von Grundstücken; Bauträger</t>
  </si>
  <si>
    <t>41.2 - Bau von Gebäuden</t>
  </si>
  <si>
    <t>42.1 - Bau von Straßen und Bahnverkehrsstrecken</t>
  </si>
  <si>
    <t>42.2 - Leitungstiefbau und Kläranlagenbau</t>
  </si>
  <si>
    <t>42.9 - Sonstiger Tiefbau</t>
  </si>
  <si>
    <t>43.1 - Abbrucharbeiten und vorbereitende Baustellenarbeiten</t>
  </si>
  <si>
    <t>43.2 - Bauinstallation</t>
  </si>
  <si>
    <t>43.3 - Sonstiger Ausbau</t>
  </si>
  <si>
    <t>43.9 - Sonstige spezialisierte Bautätigkeiten</t>
  </si>
  <si>
    <t>45.1 - Handel mit Kraftwagen</t>
  </si>
  <si>
    <t>45.2 - Instandhaltung und Reparatur von Kraftwagen</t>
  </si>
  <si>
    <t>45.3 - Handel mit Kraftwagenteilen und -zubehör</t>
  </si>
  <si>
    <t>45.4 - Handel mit Krafträdern, Kraftradteilen und -zubehör; Instandhaltung und Reparatur von Krafträdern</t>
  </si>
  <si>
    <t>46.1 - Handelsvermittlung</t>
  </si>
  <si>
    <t>46.2 - Großhandel mit landwirtschaftlichen Grundstoffen und lebenden Tieren</t>
  </si>
  <si>
    <t>46.3 - Großhandel mit Nahrungs- und Genussmitteln, Getränken und Tabakwaren</t>
  </si>
  <si>
    <t>46.4 - Großhandel mit Gebrauchs- und Verbrauchsgütern</t>
  </si>
  <si>
    <t>46.5 - Großhandel mit Geräten der Informations- und Kommunikationstechnik</t>
  </si>
  <si>
    <t>46.6 - Großhandel mit sonstigen Maschinen, Ausrüstungen und Zubehör</t>
  </si>
  <si>
    <t>46.7 - Sonstiger Großhandel</t>
  </si>
  <si>
    <t>46.9 - Großhandel ohne ausgeprägten Schwerpunkt</t>
  </si>
  <si>
    <t>47.1 - Einzelhandel mit Waren verschiedener Art (in Verkaufsräumen)</t>
  </si>
  <si>
    <t>47.2 - Einzelhandel mit Nahrungs- und Genussmitteln, Getränken und Tabakwaren (in Verkaufsräumen)</t>
  </si>
  <si>
    <t>47.3 - Einzelhandel mit Motorenkraftstoffen (Tankstellen)</t>
  </si>
  <si>
    <t>47.4 - Einzelhandel mit Geräten der Informations- und Kommunikationstechnik (in Verkaufsräumen)</t>
  </si>
  <si>
    <t>47.5 - Einzelhandel mit sonstigen Haushaltsgeräten, Textilien, Heimwerker- und Einrichtungsbedarf (in Verkaufsräumen)</t>
  </si>
  <si>
    <t>47.6 - Einzelhandel mit Verlagsprodukten, Sportausrüstungen und Spielwaren (in Verkaufsräumen)</t>
  </si>
  <si>
    <t>47.7 - Einzelhandel mit sonstigen Gütern (in Verkaufsräumen)</t>
  </si>
  <si>
    <t>47.8 - Einzelhandel an Verkaufsständen und auf Märkten</t>
  </si>
  <si>
    <t>47.9 - Einzelhandel, nicht in Verkaufsräumen, an Verkaufsständen oder auf Märkten</t>
  </si>
  <si>
    <t>49.1 - Personenbeförderung im Eisenbahnfernverkehr</t>
  </si>
  <si>
    <t>49.2 - Güterbeförderung im Eisenbahnverkehr</t>
  </si>
  <si>
    <t>49.3 - Sonstige Personenbeförderung im Landverkehr</t>
  </si>
  <si>
    <t>49.4 - Güterbeförderung im Straßenverkehr, Umzugstransporte</t>
  </si>
  <si>
    <t>49.5 - Transport in Rohrfernleitungen</t>
  </si>
  <si>
    <t>50.1 - Personenbeförderung in der See- und Küstenschifffahrt</t>
  </si>
  <si>
    <t>50.2 - Güterbeförderung in der See- und Küstenschifffahrt</t>
  </si>
  <si>
    <t>50.3 - Personenbeförderung in der Binnenschifffahrt</t>
  </si>
  <si>
    <t>50.4 - Güterbeförderung in der Binnenschifffahrt</t>
  </si>
  <si>
    <t>51.1 - Personenbeförderung in der Luftfahrt</t>
  </si>
  <si>
    <t>51.2 - Güterbeförderung in der Luftfahrt und Raumtransport</t>
  </si>
  <si>
    <t>52.1 - Lagerei</t>
  </si>
  <si>
    <t>52.2 - Erbringung von sonstigen Dienstleistungen für den Verkehr</t>
  </si>
  <si>
    <t>53.1 - Postdienste von Universaldienstleistungsanbietern</t>
  </si>
  <si>
    <t>53.2 - Sonstige Post-, Kurier- und Expressdienste</t>
  </si>
  <si>
    <t>55.1 - Hotels, Gasthöfe und Pensionen</t>
  </si>
  <si>
    <t>55.2 - Ferienunterkünfte und ähnliche Beherbergungsstätten</t>
  </si>
  <si>
    <t>55.3 - Campingplätze</t>
  </si>
  <si>
    <t>55.9 - Sonstige Beherbergungsstätten</t>
  </si>
  <si>
    <t>56.1 - Restaurants, Gaststätten, Imbissstuben, Cafés, Eissalons u. Ä.</t>
  </si>
  <si>
    <t>56.2 - Caterer und Erbringung sonstiger Verpflegungsdienstleistungen</t>
  </si>
  <si>
    <t>56.3 - Ausschank von Getränken</t>
  </si>
  <si>
    <t>58.1 - Verlegen von Büchern und Zeitschriften; sonstiges Verlagswesen (ohne Software)</t>
  </si>
  <si>
    <t>58.2 - Verlegen von Software</t>
  </si>
  <si>
    <t>59.1 - Herstellung von Filmen und Fernsehprogrammen, deren Verleih und Vertrieb; Kinos</t>
  </si>
  <si>
    <t>59.2 - Tonstudios; Herstellung von Hörfunkbeiträgen; Verlegen von bespielten Tonträgern und Musikalien</t>
  </si>
  <si>
    <t>60.1 - Hörfunkveranstalter</t>
  </si>
  <si>
    <t>60.2 - Fernsehveranstalter</t>
  </si>
  <si>
    <t>61.1 - Leitungsgebundene Telekommunikation</t>
  </si>
  <si>
    <t>61.2 - Drahtlose Telekommunikation</t>
  </si>
  <si>
    <t>61.3 - Satellitentelekommunikation</t>
  </si>
  <si>
    <t>61.9 - Sonstige Telekommunikation</t>
  </si>
  <si>
    <t>62.0 - Erbringung von Dienstleistungen der Informationstechnologie</t>
  </si>
  <si>
    <t>63.1 - Datenverarbeitung, Hosting und damit verbundene Tätigkeiten; Webportale</t>
  </si>
  <si>
    <t>63.9 - Erbringung von sonstigen Informationsdienstleistungen</t>
  </si>
  <si>
    <t>64.1 - Zentralbanken und Kreditinstitute</t>
  </si>
  <si>
    <t>64.2 - Beteiligungsgesellschaften</t>
  </si>
  <si>
    <t>64.3 - Treuhand- und sonstige Fonds und ähnliche Finanzinstitutionen</t>
  </si>
  <si>
    <t>64.9 - Sonstige Finanzierungsinstitutionen</t>
  </si>
  <si>
    <t>65.1 - Versicherungen</t>
  </si>
  <si>
    <t>65.2 - Rückversicherungen</t>
  </si>
  <si>
    <t>65.3 - Pensionskassen und Pensionsfonds</t>
  </si>
  <si>
    <t>66.1 - Mit Finanzdienstleistungen verbundene Tätigkeiten</t>
  </si>
  <si>
    <t>66.2 - Mit Versicherungsdienstleistungen und Pensionskassen verbundene Tätigkeiten</t>
  </si>
  <si>
    <t>66.3 - Fondsmanagement</t>
  </si>
  <si>
    <t>68.1 - Kauf und Verkauf von eigenen Grundstücken, Gebäuden und Wohnungen</t>
  </si>
  <si>
    <t>68.2 - Vermietung, Verpachtung von eigenen oder geleasten Grundstücken, Gebäuden und Wohnungen</t>
  </si>
  <si>
    <t>68.3 - Vermittlung und Verwaltung von Grundstücken, Gebäuden und Wohnungen für Dritte</t>
  </si>
  <si>
    <t>69.1 - Rechtsberatung</t>
  </si>
  <si>
    <t>69.2 - Wirtschaftsprüfung und Steuerberatung; Buchführung</t>
  </si>
  <si>
    <t>70.1 - Verwaltung und Führung von Unternehmen und Betrieben</t>
  </si>
  <si>
    <t>70.2 - Public-Relations- und Unternehmensberatung</t>
  </si>
  <si>
    <t>71.1 - Architektur- und Ingenieurbüros</t>
  </si>
  <si>
    <t>71.2 - Technische, physikalische und chemische Untersuchung</t>
  </si>
  <si>
    <t>72.1 - Forschung und Entwicklung im Bereich Natur-, Ingenieur-, Agrarwissenschaften und Medizin</t>
  </si>
  <si>
    <t>72.2 - Forschung und Entwicklung im Bereich Rechts-, Wirtschafts- und Sozialwissenschaften sowie im Bereich Sprach-, Kultur- und Kunstwissenschaften</t>
  </si>
  <si>
    <t>73.1 - Werbung</t>
  </si>
  <si>
    <t>73.2 - Markt- und Meinungsforschung</t>
  </si>
  <si>
    <t>74.1 - Ateliers für Textil-, Schmuck-, Grafik- u. ä. Design</t>
  </si>
  <si>
    <t>74.2 - Fotografie und Fotolabors</t>
  </si>
  <si>
    <t>74.3 - Übersetzen und Dolmetschen</t>
  </si>
  <si>
    <t>74.9 - Sonstige freiberufliche, wissenschaftliche und technische Tätigkeiten a. n. g.</t>
  </si>
  <si>
    <t>75.0 - Veterinärwesen</t>
  </si>
  <si>
    <t>77.1 - Vermietung von Kraftwagen</t>
  </si>
  <si>
    <t>77.2 - Vermietung von Gebrauchsgütern</t>
  </si>
  <si>
    <t>77.3 - Vermietung von Maschinen, Geräten und sonstigen beweglichen Sachen</t>
  </si>
  <si>
    <t>77.4 - Leasing von nichtfinanziellen immateriellen Vermögensgegenständen (ohne Copyrights)</t>
  </si>
  <si>
    <t>78.1 - Vermittlung von Arbeitskräften</t>
  </si>
  <si>
    <t>78.2 - Befristete Überlassung von Arbeitskräften</t>
  </si>
  <si>
    <t>78.3 - Sonstige Überlassung von Arbeitskräften</t>
  </si>
  <si>
    <t>79.1 - Reisebüros und Reiseveranstalter</t>
  </si>
  <si>
    <t>79.11 - Reisebüros</t>
  </si>
  <si>
    <t>79.12 - Reiseveranstalter</t>
  </si>
  <si>
    <t>79.9 - Erbringung sonstiger Reservierungsdienstleistungen</t>
  </si>
  <si>
    <t>80.1 - Private Wach- und Sicherheitsdienste</t>
  </si>
  <si>
    <t>80.2 - Sicherheitsdienste mithilfe von Überwachungs- und Alarmsystemen</t>
  </si>
  <si>
    <t>80.3 - Detekteien</t>
  </si>
  <si>
    <t>81.1 - Hausmeisterdienste</t>
  </si>
  <si>
    <t>81.2 - Reinigung von Gebäuden, Straßen und Verkehrsmitteln</t>
  </si>
  <si>
    <t>81.3 - Garten- und Landschaftsbau sowie Erbringung von sonstigen gärtnerischen Dienstleistungen</t>
  </si>
  <si>
    <t>82.1 - Sekretariats- und Schreibdienste, Copy-Shops</t>
  </si>
  <si>
    <t>82.2 - Call Centers</t>
  </si>
  <si>
    <t>82.3 - Messe-, Ausstellungs- und Kongressveranstalter</t>
  </si>
  <si>
    <t>82.9 - Erbringung sonstiger wirtschaftlicher Dienstleistungen für Unternehmen und Privatpersonen</t>
  </si>
  <si>
    <t>84.1 - Öffentliche Verwaltung</t>
  </si>
  <si>
    <t>84.2 - Auswärtige Angelegenheiten, Verteidigung, Rechtspflege, öffentliche Sicherheit und Ordnung</t>
  </si>
  <si>
    <t>84.3 - Sozialversicherung</t>
  </si>
  <si>
    <t>85.1 - Kindergärten und Vorschulen</t>
  </si>
  <si>
    <t>85.2 - Grundschulen</t>
  </si>
  <si>
    <t>85.3 - Weiterführende Schulen</t>
  </si>
  <si>
    <t>85.4 - Tertiärer und post-sekundärer, nicht tertiärer Unterricht</t>
  </si>
  <si>
    <t>85.5 - Sonstiger Unterricht</t>
  </si>
  <si>
    <t>85.6 - Erbringung von Dienstleistungen für den Unterricht</t>
  </si>
  <si>
    <t>86.1 - Krankenhäuser</t>
  </si>
  <si>
    <t>86.2 - Arzt- und Zahnarztpraxen</t>
  </si>
  <si>
    <t>86.9 - Gesundheitswesen a. n. g.</t>
  </si>
  <si>
    <t>87.1 - Pflegeheime</t>
  </si>
  <si>
    <t>87.2 - Stationäre Einrichtungen zur psychosozialen Betreuung, Suchtbekämpfung u. Ä.</t>
  </si>
  <si>
    <t>87.3 - Altenheime; Alten- und Behindertenwohnheime</t>
  </si>
  <si>
    <t>87.9 - Sonstige Heime (ohne Erholungs- und Ferienheime)</t>
  </si>
  <si>
    <t>88.1 - Soziale Betreuung älterer Menschen und Behinderter</t>
  </si>
  <si>
    <t>88.9 - Sonstiges Sozialwesen (ohne Heime)</t>
  </si>
  <si>
    <t>90.0 - Kreative, künstlerische und unterhaltende Tätigkeiten</t>
  </si>
  <si>
    <t>90.01 - Darstellende Kunst</t>
  </si>
  <si>
    <t>90.02 - Erbringung von Dienstleistungen für die darstellende Kunst</t>
  </si>
  <si>
    <t>90.03 - Künstlerisches und schriftstellerisches Schaffen</t>
  </si>
  <si>
    <t>90.04 - Betrieb von Kultur- und Unterhaltungseinrichtungen</t>
  </si>
  <si>
    <t>91.0 - Bibliotheken, Archive, Museen, botanische und zoologische Gärten</t>
  </si>
  <si>
    <t>91.01 - Bibliotheken und Archive</t>
  </si>
  <si>
    <t>91.02 - Museen</t>
  </si>
  <si>
    <t>91.03 - Betrieb von historischen Stätten und Gebäuden und ähnlichen Attraktionen</t>
  </si>
  <si>
    <t>91.04 - Botanische und zoologische Gärten sowie Naturparks</t>
  </si>
  <si>
    <t>92.0 - Spiel-, Wett- und Lotteriewesen</t>
  </si>
  <si>
    <t>92.00.1 - Spielhallen und Betrieb von Spielautomaten</t>
  </si>
  <si>
    <t>92.00.2 - Spielbanken und Spielklubs</t>
  </si>
  <si>
    <t>93.1 - Erbringung von Dienstleistungen des Sports</t>
  </si>
  <si>
    <t>93.11 - Betrieb von Sportanlagen</t>
  </si>
  <si>
    <t>93.12 - Sportvereine</t>
  </si>
  <si>
    <t>93.13 - Fitnesszentren</t>
  </si>
  <si>
    <t>93.19 - Erbringung von sonstigen Dienstleistungen des Sports</t>
  </si>
  <si>
    <t>93.2 - Erbringung von sonstigen Dienstleistungen der Unterhaltung und der Erholung</t>
  </si>
  <si>
    <t>93.21 - Vergnügungs- und Themenparks</t>
  </si>
  <si>
    <t>93.29 - Erbringung von Dienstleistungen der Unterhaltung und der Erholung a. n. g.</t>
  </si>
  <si>
    <t>94.1 - Wirtschafts- und Arbeitgeberverbände, Berufsorganisationen</t>
  </si>
  <si>
    <t>94.2 - Arbeitnehmervereinigungen</t>
  </si>
  <si>
    <t>94.9 - Kirchliche Vereinigungen; politische Parteien sowie sonstige Interessenvertretungen und Vereinigungen a. n. g.</t>
  </si>
  <si>
    <t>95.1 - Reparatur von Datenverarbeitungs- und Telekommunikationsgeräten</t>
  </si>
  <si>
    <t>95.2 - Reparatur von Gebrauchsgütern</t>
  </si>
  <si>
    <t>96.0 - Erbringung von sonstigen überwiegend persönlichen Dienstleistungen</t>
  </si>
  <si>
    <t>96.02.1 - Frisörsalons</t>
  </si>
  <si>
    <t>96.02.2 - Kosmetiksalons</t>
  </si>
  <si>
    <t>96.04 - Saunas, Solarien, Bäder u. Ä.</t>
  </si>
  <si>
    <t>96.09 - Erbringung von sonstigen Dienstleistungen a. n. g.</t>
  </si>
  <si>
    <t>97.0 - Private Haushalte mit Hauspersonal</t>
  </si>
  <si>
    <t>Abteilung:</t>
  </si>
  <si>
    <t>01 - Landwirtschaft, Jagd und damit verbundene Tätigkeiten</t>
  </si>
  <si>
    <t>02 - Forstwirtschaft und Holzeinschlag</t>
  </si>
  <si>
    <t>03 - Fischerei und Aquakultur</t>
  </si>
  <si>
    <t>05 - Kohlenbergbau</t>
  </si>
  <si>
    <t>06 - Gewinnung von Erdöl und Erdgas</t>
  </si>
  <si>
    <t>07 - Erzbergbau</t>
  </si>
  <si>
    <t>08 - Gewinnung von Steinen und Erden, sonstiger Bergbau</t>
  </si>
  <si>
    <t>09 - Erbringung von Dienstleistungen für den Bergbau und für die Gewinnung von Steinen und Erden</t>
  </si>
  <si>
    <t>10 - Herstellung von Nahrungs- und Futtermitteln</t>
  </si>
  <si>
    <t>11 - Getränkeherstellung</t>
  </si>
  <si>
    <t>12 - Tabakverarbeitung</t>
  </si>
  <si>
    <t>13 - Herstellung von Textilien</t>
  </si>
  <si>
    <t>14 - Herstellung von Bekleidung</t>
  </si>
  <si>
    <t>15 - Herstellung von Leder, Lederwaren und Schuhen</t>
  </si>
  <si>
    <t>16 - Herstellung von Holz-, Flecht-, Korb- und Korkwaren (ohne Möbel)</t>
  </si>
  <si>
    <t>17 - Herstellung von Papier, Pappe und Waren daraus</t>
  </si>
  <si>
    <t>18 - Herstellung von Druckerzeugnissen; Vervielfältigung von bespielten Ton-, Bild- und Datenträgern</t>
  </si>
  <si>
    <t>19 - Kokerei und Mineralölverarbeitung</t>
  </si>
  <si>
    <t>20 - Herstellung von chemischen Erzeugnissen</t>
  </si>
  <si>
    <t>21 - Herstellung von pharmazeutischen Erzeugnissen</t>
  </si>
  <si>
    <t>22 - Herstellung von Gummi- und Kunststoffwaren</t>
  </si>
  <si>
    <t>23 - Herstellung von Glas und Glaswaren, Keramik, Verarbeitung von Steinen und Erden</t>
  </si>
  <si>
    <t>24 - Metallerzeugung und -bearbeitung</t>
  </si>
  <si>
    <t>25 - Herstellung von Metallerzeugnissen</t>
  </si>
  <si>
    <t>26 - Herstellung von Datenverarbeitungsgeräten, elektronischen und optischen Erzeugnissen</t>
  </si>
  <si>
    <t>27 - Herstellung von elektrischen Ausrüstungen</t>
  </si>
  <si>
    <t>28 - Maschinenbau</t>
  </si>
  <si>
    <t>29 - Herstellung von Kraftwagen und Kraftwagenteilen</t>
  </si>
  <si>
    <t>30 - Sonstiger Fahrzeugbau</t>
  </si>
  <si>
    <t>31 - Herstellung von Möbeln</t>
  </si>
  <si>
    <t>32 - Herstellung von sonstigen Waren</t>
  </si>
  <si>
    <t>33 - Reparatur und Installation von Maschinen und Ausrüstungen</t>
  </si>
  <si>
    <t>35 - Energieversorgung</t>
  </si>
  <si>
    <t>36 - Wasserversorgung</t>
  </si>
  <si>
    <t>37 - Abwasserentsorgung</t>
  </si>
  <si>
    <t>38 - Sammlung, Behandlung und Beseitigung von Abfällen; Rückgewinnung</t>
  </si>
  <si>
    <t>39 - Beseitigung von Umweltverschmutzungen und sonstige Entsorgung</t>
  </si>
  <si>
    <t>41 - Hochbau</t>
  </si>
  <si>
    <t>42 - Tiefbau</t>
  </si>
  <si>
    <t>43 - Vorbereitende Baustellenarbeiten, Bauinstallation und sonstiges Ausbaugewerbe</t>
  </si>
  <si>
    <t>45 - Handel mit Kraftfahrzeugen; Instandhaltung und Reparatur von Kraftfahrzeugen</t>
  </si>
  <si>
    <t>46 - Großhandel (ohne Handel mit Kraftfahrzeugen)</t>
  </si>
  <si>
    <t>47 - Einzelhandel (ohne Handel mit Kraftfahrzeugen)</t>
  </si>
  <si>
    <t>49 - Landverkehr und Transport in Rohrfernleitungen</t>
  </si>
  <si>
    <t>50 - Schifffahrt</t>
  </si>
  <si>
    <t>51 - Luftfahrt</t>
  </si>
  <si>
    <t>52 - Lagerei sowie Erbringung von sonstigen Dienstleistungen für den Verkehr</t>
  </si>
  <si>
    <t>53 - Post-, Kurier- und Expressdienste</t>
  </si>
  <si>
    <t>55 - Beherbergung</t>
  </si>
  <si>
    <t>56 - Gastronomie</t>
  </si>
  <si>
    <t>58 - Verlagswesen</t>
  </si>
  <si>
    <t>59 - Herstellung, Verleih und Vertrieb von Filmen und Fernsehprogrammen; Kinos; Tonstudios und Verlegen von Musik</t>
  </si>
  <si>
    <t>60 - Rundfunkveranstalter</t>
  </si>
  <si>
    <t>61 - Telekommunikation</t>
  </si>
  <si>
    <t>62 - Erbringung von Dienstleistungen der Informationstechnologie</t>
  </si>
  <si>
    <t>63 - Informationsdienstleistungen</t>
  </si>
  <si>
    <t>64 - Erbringung von Finanzdienstleistungen</t>
  </si>
  <si>
    <t>65 - Versicherungen, Rückversicherungen und Pensionskassen (ohne Sozial-versicherung)</t>
  </si>
  <si>
    <t>66 - Mit Finanz- und Versicherungsdienstleistungen verbundene Tätigkeiten</t>
  </si>
  <si>
    <t>68 - Grundstücks- und Wohnungswesen</t>
  </si>
  <si>
    <t>69 - Rechts- und Steuerberatung, Wirtschaftsprüfung</t>
  </si>
  <si>
    <t>70 - Verwaltung und Führung von Unternehmen und Betrieben; Unternehmens-beratung</t>
  </si>
  <si>
    <t>71 - Architektur- und Ingenieurbüros; technische, physikalische und chemische Untersuchung</t>
  </si>
  <si>
    <t>72 - Forschung und Entwicklung</t>
  </si>
  <si>
    <t>73 - Werbung und Marktforschung</t>
  </si>
  <si>
    <t>74 - Sonstige freiberufliche, wissenschaftliche und technische Tätigkeiten</t>
  </si>
  <si>
    <t>75 - Veterinärwesen</t>
  </si>
  <si>
    <t>77 - Vermietung von beweglichen Sachen</t>
  </si>
  <si>
    <t>78 - Vermittlung und Überlassung von Arbeitskräften</t>
  </si>
  <si>
    <t>79 - Reisebüros, Reiseveranstalter und Erbringung sonstiger Reservierungsdienstleistungen</t>
  </si>
  <si>
    <t>80 - Wach- und Sicherheitsdienste sowie Detekteien</t>
  </si>
  <si>
    <t>81 - Gebäudebetreuung; Garten- und Landschaftsbau</t>
  </si>
  <si>
    <t>82 - Erbringung von wirtschaftlichen Dienstleistungen für Unternehmen und Privatpersonen a. n. g.</t>
  </si>
  <si>
    <t>84 - Öffentliche Verwaltung, Verteidigung; Sozialversicherung</t>
  </si>
  <si>
    <t>85 - Erziehung und Unterricht</t>
  </si>
  <si>
    <t>86 - Gesundheitswesen</t>
  </si>
  <si>
    <t>87 - Heime (ohne Erholungs- und Ferienheime)</t>
  </si>
  <si>
    <t>88 - Sozialwesen (ohne Heime)</t>
  </si>
  <si>
    <t>90 - Kreative, künstlerische und unterhaltende Tätigkeiten</t>
  </si>
  <si>
    <t>91 - Bibliotheken, Archive, Museen, botanische und zoologische Gärten</t>
  </si>
  <si>
    <t>92 - Spiel-, Wett- und Lotteriewesen</t>
  </si>
  <si>
    <t>93 - Erbringung von Dienstleistungen des Sports, der Unterhaltung und der Erholung</t>
  </si>
  <si>
    <t>94 - Interessenvertretungen sowie kirchliche und sonstige religiöse Vereinigungen (ohne Sozialwesen und Sport)</t>
  </si>
  <si>
    <t>95 - Reparatur von Datenverarbeitungsgeräten und Gebrauchsgütern</t>
  </si>
  <si>
    <t>96 - Erbringung von sonstigen überwiegend persönlichen Dienstleistungen</t>
  </si>
  <si>
    <t>97 - Private Haushalte mit Hauspersonal</t>
  </si>
  <si>
    <t>A - Land- und Forstwirtschaft, Fischerei</t>
  </si>
  <si>
    <t>B - Bergbau und Gewinnung von Steinen und Erden</t>
  </si>
  <si>
    <t>C - Verarbeitendes Gewerbe</t>
  </si>
  <si>
    <t>D - Energieversorgung</t>
  </si>
  <si>
    <t>E - Wasserversorgung; Abwasser- und Abfallentsorgung und Beseitigung von Umweltverschmutzungen</t>
  </si>
  <si>
    <t>F - Baugewerbe</t>
  </si>
  <si>
    <t>G - Handel; Instandhaltung und Reparatur von Kraftfahrzeugen</t>
  </si>
  <si>
    <t>H - Verkehr und Lagerei</t>
  </si>
  <si>
    <t>I - Gastgewerbe</t>
  </si>
  <si>
    <t>J - Information und Kommunikation</t>
  </si>
  <si>
    <t>K - Erbringung von Finanz- und Versicherungsdienstleistungen</t>
  </si>
  <si>
    <t>L - Grundstücks- und Wohnungswesen</t>
  </si>
  <si>
    <t>M - Erbringung von freiberuflichen, wissenschaftlichen und technischen Dienstleistungen</t>
  </si>
  <si>
    <t>N - Erbringung von sonstigen wirtschaftlichen Dienstleistungen</t>
  </si>
  <si>
    <t>P - Erziehung und Unterricht</t>
  </si>
  <si>
    <t>Q - Gesundheits- und Sozialwesen</t>
  </si>
  <si>
    <t>R - Kunst, Unterhaltung und Erholung</t>
  </si>
  <si>
    <t>S - Erbringung von sonstigen Dienstleistungen</t>
  </si>
  <si>
    <t>01.11 - Anbau von Getreide (ohne Reis), Hülsenfrüchten und Ölsaaten</t>
  </si>
  <si>
    <t>01.12 - Anbau von Reis</t>
  </si>
  <si>
    <t>01.13 - Anbau von Gemüse und Melonen sowie Wurzeln und Knollen</t>
  </si>
  <si>
    <t>01.14 - Anbau von Zuckerrohr</t>
  </si>
  <si>
    <t>01.15 - Anbau von Tabak</t>
  </si>
  <si>
    <t>01.16 - Anbau von Faserpflanzen</t>
  </si>
  <si>
    <t>01.19 - Anbau von sonstigen einjährigen Pflanzen</t>
  </si>
  <si>
    <t>01.21 - Anbau von Wein- und Tafeltrauben</t>
  </si>
  <si>
    <t>01.22 - Anbau von tropischen und subtropischen Früchten</t>
  </si>
  <si>
    <t>01.23 - Anbau von Zitrusfrüchten</t>
  </si>
  <si>
    <t>01.24 - Anbau von Kern- und Steinobst</t>
  </si>
  <si>
    <t>01.25 - Anbau von sonstigem Obst und Nüssen</t>
  </si>
  <si>
    <t>01.26 - Anbau von ölhaltigen Früchten</t>
  </si>
  <si>
    <t>01.27 - Anbau von Pflanzen zur Herstellung von Getränken</t>
  </si>
  <si>
    <t>01.28 - Anbau von Gewürzpflanzen, Pflanzen für aromatische, narkotische und pharmazeutische Zwecke</t>
  </si>
  <si>
    <t>01.29 - Anbau sonstiger mehrjähriger Pflanzen</t>
  </si>
  <si>
    <t>01.30 - Betrieb von Baumschulen, sowie Anbau von Pflanzen zu Vermehrungszwecken</t>
  </si>
  <si>
    <t>01.41 - Haltung von Milchkühen</t>
  </si>
  <si>
    <t>01.42 - Haltung von anderen Rindern</t>
  </si>
  <si>
    <t>01.43 - Haltung von Pferden und Eseln</t>
  </si>
  <si>
    <t>01.44 - Haltung von Kamelen</t>
  </si>
  <si>
    <t>01.45 - Haltung von Schafen und Ziegen</t>
  </si>
  <si>
    <t>01.46 - Haltung von Schweinen</t>
  </si>
  <si>
    <t>01.47 - Haltung von Geflügel</t>
  </si>
  <si>
    <t>01.49 - Sonstige Tierhaltung</t>
  </si>
  <si>
    <t>01.50 - Gemischte Landwirtschaft</t>
  </si>
  <si>
    <t>01.61 - Erbringung von landwirtschaftlichen Dienstleistungen für den Pflanzenbau</t>
  </si>
  <si>
    <t>01.62 - Erbringung von landwirtschaftlichen Dienstleistungen für die Tierhaltung</t>
  </si>
  <si>
    <t>01.63 - Nach der Ernte anfallende Tätigkeiten in der pflanzlichen Erzeugung</t>
  </si>
  <si>
    <t>01.64 - Saatgutaufbereitung</t>
  </si>
  <si>
    <t>01.70 - Jagd, Fallenstellerei und damit verbundene Tätigkeiten</t>
  </si>
  <si>
    <t>02.10 - Forstwirtschaft</t>
  </si>
  <si>
    <t>02.20 - Holzeinschlag</t>
  </si>
  <si>
    <t>02.30 - Sammeln von wild wachsenden Produkten (ohne Holz)</t>
  </si>
  <si>
    <t>02.40 - Erbringung von Dienstleistungen für Forstwirtschaft und Holzeinschlag</t>
  </si>
  <si>
    <t>03.11 - Meeresfischerei</t>
  </si>
  <si>
    <t>03.12 - Süßwasserfischerei</t>
  </si>
  <si>
    <t>03.21 - Meeresaquakultur</t>
  </si>
  <si>
    <t>03.22 - Süßwasseraquakultur</t>
  </si>
  <si>
    <t>05.10 - Steinkohlenbergbau</t>
  </si>
  <si>
    <t>05.20 - Braunkohlenbergbau</t>
  </si>
  <si>
    <t>06.10 - Gewinnung von Erdöl</t>
  </si>
  <si>
    <t>06.20 - Gewinnung von Erdgas</t>
  </si>
  <si>
    <t>07.10 - Eisenerzbergbau</t>
  </si>
  <si>
    <t>07.21 - Bergbau auf Uran- und Thoriumerze</t>
  </si>
  <si>
    <t>07.29 - Sonstiger NE-Metallerzbergbau</t>
  </si>
  <si>
    <t>08.11 - Gewinnung von Naturwerksteinen und Natursteinen, Kalk- und Gipsstein, Kreide und Schiefer</t>
  </si>
  <si>
    <t>08.12 - Gewinnung von Kies, Sand, Ton und Kaolin</t>
  </si>
  <si>
    <t>08.91 - Bergbau auf chemische und Düngemittelminerale</t>
  </si>
  <si>
    <t>08.92 - Torfgewinnung</t>
  </si>
  <si>
    <t>08.93 - Gewinnung von Salz</t>
  </si>
  <si>
    <t>08.99 - Gewinnung von Steinen und Erden a. n. g.</t>
  </si>
  <si>
    <t>09.10 - Erbringung von Dienstleistungen für die Gewinnung von Erdöl und Erdgas</t>
  </si>
  <si>
    <t>09.90 - Erbringung von Dienstleistungen für den sonstigen Bergbau und die Gewinnung von Steinen und Erden</t>
  </si>
  <si>
    <t>10.11 - Schlachten (ohne Schlachten von Geflügel)</t>
  </si>
  <si>
    <t>10.12 - Schlachten von Geflügel</t>
  </si>
  <si>
    <t>10.13 - Fleischverarbeitung</t>
  </si>
  <si>
    <t>10.20 - Fischverarbeitung</t>
  </si>
  <si>
    <t>10.31 - Kartoffelverarbeitung</t>
  </si>
  <si>
    <t>10.32 - Herstellung von Frucht- und Gemüsesäften</t>
  </si>
  <si>
    <t>10.39 - Sonstige Verarbeitung von Obst und Gemüse</t>
  </si>
  <si>
    <t>10.41 - Herstellung von Ölen und Fetten (ohne Margarine u. ä. Nahrungsfette)</t>
  </si>
  <si>
    <t>10.42 - Herstellung von Margarine u. ä. Nahrungsfetten</t>
  </si>
  <si>
    <t>10.51 - Milchverarbeitung (ohne Herstellung von Speiseeis)</t>
  </si>
  <si>
    <t>10.52 - Herstellung von Speiseeis</t>
  </si>
  <si>
    <t>10.61 - Mahl- und Schälmühlen</t>
  </si>
  <si>
    <t>10.62 - Herstellung von Stärke und Stärkeerzeugnissen</t>
  </si>
  <si>
    <t>10.71 - Herstellung von Backwaren (ohne Dauerbackwaren)</t>
  </si>
  <si>
    <t>10.72 - Herstellung von Dauerbackwaren</t>
  </si>
  <si>
    <t>10.73 - Herstellung von Teigwaren</t>
  </si>
  <si>
    <t>10.81 - Herstellung von Zucker</t>
  </si>
  <si>
    <t>10.82 - Herstellung von Süßwaren (ohne Dauerbackwaren)</t>
  </si>
  <si>
    <t>10.83 - Verarbeitung von Kaffee und Tee, Herstellung von Kaffee-Ersatz</t>
  </si>
  <si>
    <t>10.84 - Herstellung von Würzmitteln und Soßen</t>
  </si>
  <si>
    <t>10.85 - Herstellung von Fertiggerichten</t>
  </si>
  <si>
    <t>10.86 - Herstellung von homogenisierten und diätetischen Nahrungsmitteln</t>
  </si>
  <si>
    <t>10.89 - Herstellung von sonstigen Nahrungsmitteln a. n. g.</t>
  </si>
  <si>
    <t>10.91 - Herstellung von Futtermitteln für Nutztiere</t>
  </si>
  <si>
    <t>10.92 - Herstellung von Futtermitteln für sonstige Tiere</t>
  </si>
  <si>
    <t>11.01 - Herstellung von Spirituosen</t>
  </si>
  <si>
    <t>11.02 - Herstellung von Traubenwein</t>
  </si>
  <si>
    <t>11.03 - Herstellung von Apfelwein und anderen Fruchtweinen</t>
  </si>
  <si>
    <t>11.04 - Herstellung von Wermutwein und sonstigen aromatisierten Weinen</t>
  </si>
  <si>
    <t>11.05 - Herstellung von Bier</t>
  </si>
  <si>
    <t>11.06 - Herstellung von Malz</t>
  </si>
  <si>
    <t>11.07 - Herstellung von Erfrischungsgetränken; Gewinnung natürlicher Mineralwässer</t>
  </si>
  <si>
    <t>12.00 - Tabakverarbeitung</t>
  </si>
  <si>
    <t>13.10 - Spinnstoffaufbereitung und Spinnerei</t>
  </si>
  <si>
    <t>13.20 - Weberei</t>
  </si>
  <si>
    <t>13.30 - Veredlung von Textilien und Bekleidung</t>
  </si>
  <si>
    <t>13.91 - Herstellung von gewirktem und gestricktem Stoff</t>
  </si>
  <si>
    <t>13.92 - Herstellung von konfektionierten Textilwaren (ohne Bekleidung)</t>
  </si>
  <si>
    <t>13.93 - Herstellung von Teppichen</t>
  </si>
  <si>
    <t>13.94 - Herstellung von Seilerwaren</t>
  </si>
  <si>
    <t>13.95 - Herstellung von Vliesstoff und Erzeugnissen daraus (ohne Bekleidung)</t>
  </si>
  <si>
    <t>13.96 - Herstellung von technischen Textilien</t>
  </si>
  <si>
    <t>13.99 - Herstellung von sonstigen Textilwaren a. n. g.</t>
  </si>
  <si>
    <t>14.11 - Herstellung von Lederbekleidung</t>
  </si>
  <si>
    <t>14.12 - Herstellung von Arbeits- und Berufsbekleidung</t>
  </si>
  <si>
    <t>14.13 - Herstellung von sonstiger Oberbekleidung</t>
  </si>
  <si>
    <t>14.14 - Herstellung von Wäsche</t>
  </si>
  <si>
    <t>14.19 - Herstellung von sonstiger Bekleidung und Bekleidungszubehör a. n. g.</t>
  </si>
  <si>
    <t>14.20 - Herstellung von Pelzwaren</t>
  </si>
  <si>
    <t>14.31 - Herstellung von Strumpfwaren</t>
  </si>
  <si>
    <t>14.39 - Herstellung von sonstiger Bekleidung aus gewirktem und gestricktem Stoff</t>
  </si>
  <si>
    <t>15.11 - Herstellung von Leder und Lederfaserstoff; Zurichtung und Färben von Fellen</t>
  </si>
  <si>
    <t>15.12 - Lederverarbeitung (ohne Herstellung von Lederbekleidung)</t>
  </si>
  <si>
    <t>15.20 - Herstellung von Schuhen</t>
  </si>
  <si>
    <t>16.10 - Säge-, Hobel- und Holzimprägnierwerke</t>
  </si>
  <si>
    <t>16.21 - Herstellung von Furnier-, Sperrholz-, Holzfaser- und Holzspanplatten</t>
  </si>
  <si>
    <t>16.22 - Herstellung von Parketttafeln</t>
  </si>
  <si>
    <t>16.23 - Herstellung von sonstigen Konstruktionsteilen, Fertigbauteilen, Ausbauelementen und Fertigteilbauten aus Holz</t>
  </si>
  <si>
    <t>16.24 - Herstellung von Verpackungsmitteln, Lagerbehältern und Ladungsträgern aus Holz</t>
  </si>
  <si>
    <t>16.29 - Herstellung von Holzwaren a.n.g, Kork-, Flecht- und Korbwaren (ohne Möbel)</t>
  </si>
  <si>
    <t>17.11 - Herstellung von Holz- und Zellstoff</t>
  </si>
  <si>
    <t>17.12 - Herstellung von Papier, Karton und Pappe</t>
  </si>
  <si>
    <t>17.21 - Herstellung von Wellpapier und -pappe sowie von Verpackungsmitteln aus Papier, Karton und Pappe</t>
  </si>
  <si>
    <t>17.22 - Herstellung von Haushalts-, Hygiene- und Toilettenartikeln aus Zellstoff, Papier und Pappe</t>
  </si>
  <si>
    <t>17.23 - Herstellung von Schreibwaren und Bürobedarf aus Papier, Karton und Pappe</t>
  </si>
  <si>
    <t>17.24 - Herstellung von Tapeten</t>
  </si>
  <si>
    <t>17.29 - Herstellung von sonstigen Waren aus Papier, Karton und Pappe</t>
  </si>
  <si>
    <t>18.11 - Drucken von Zeitungen</t>
  </si>
  <si>
    <t>18.12 - Drucken a. n. g.</t>
  </si>
  <si>
    <t>18.13 - Druck- und Medienvorstufe</t>
  </si>
  <si>
    <t>18.14 - Binden von Druckerzeugnissen und damit verbundene Dienstleistungen</t>
  </si>
  <si>
    <t>18.20 - Vervielfältigung von bespielten Ton-, Bild- und Datenträgern</t>
  </si>
  <si>
    <t>19.10 - Kokerei</t>
  </si>
  <si>
    <t>19.20 - Mineralölverarbeitung</t>
  </si>
  <si>
    <t>20.11 - Herstellung von Industriegasen</t>
  </si>
  <si>
    <t>20.12 - Herstellung von Farbstoffen und Pigmenten</t>
  </si>
  <si>
    <t>20.13 - Herstellung von sonstigen anorganischen Grundstoffen und Chemikalien</t>
  </si>
  <si>
    <t>20.14 - Herstellung von sonstigen organischen Grundstoffen und Chemikalien</t>
  </si>
  <si>
    <t>20.15 - Herstellung von Düngemitteln und Stickstoffverbindungen</t>
  </si>
  <si>
    <t>20.16 - Herstellung von Kunststoffen in Primärformen</t>
  </si>
  <si>
    <t>20.17 - Herstellung von synthetischem Kautschuk in Primärformen</t>
  </si>
  <si>
    <t>20.20 - Herstellung von Schädlingsbekämpfungs-, Pflanzenschutz- und Desinfektionsmitteln</t>
  </si>
  <si>
    <t>20.30 - Herstellung von Anstrichmitteln, Druckfarben und Kitten</t>
  </si>
  <si>
    <t>20.41 - Herstellung von Seifen, Wasch-, Reinigungs- und Poliermitteln</t>
  </si>
  <si>
    <t>20.42 - Herstellung von Körperpflegemitteln und Duftstoffen</t>
  </si>
  <si>
    <t>20.51 - Herstellung von pyrotechnischen Erzeugnissen</t>
  </si>
  <si>
    <t>20.52 - Herstellung von Klebstoffen</t>
  </si>
  <si>
    <t>20.53 - Herstellung von etherischen Ölen</t>
  </si>
  <si>
    <t>20.59 - Herstellung von sonstigen chemischen Erzeugnissen a. n. g.</t>
  </si>
  <si>
    <t>20.60 - Herstellung von Chemiefasern</t>
  </si>
  <si>
    <t>21.10 - Herstellung von pharmazeutischen Grundstoffen</t>
  </si>
  <si>
    <t>21.20 - Herstellung von pharmazeutischen Spezialitäten und sonstigen pharmazeutischen Erzeugnissen</t>
  </si>
  <si>
    <t>22.11 - Herstellung und Runderneuerung von Bereifungen</t>
  </si>
  <si>
    <t>22.19 - Herstellung von sonstigen Gummiwaren</t>
  </si>
  <si>
    <t>22.21 - Herstellung von Platten, Folien, Schläuchen und Profilen aus Kunststoffen</t>
  </si>
  <si>
    <t>22.22 - Herstellung von Verpackungsmitteln aus Kunststoffen</t>
  </si>
  <si>
    <t>22.23 - Herstellung von Baubedarfsartikeln aus Kunststoffen</t>
  </si>
  <si>
    <t>22.29 - Herstellung von sonstigen Kunststoffwaren</t>
  </si>
  <si>
    <t>23.11 - Herstellung von Flachglas</t>
  </si>
  <si>
    <t>23.12 - Veredlung und Bearbeitung von Flachglas</t>
  </si>
  <si>
    <t>23.13 - Herstellung von Hohlglas</t>
  </si>
  <si>
    <t>23.14 - Herstellung von Glasfasern und Waren daraus</t>
  </si>
  <si>
    <t>23.19 - Herstellung, Veredlung und Bearbeitung von sonstigem Glas einschließlich technischen Glaswaren</t>
  </si>
  <si>
    <t>23.20 - Herstellung von feuerfesten keramischen Werkstoffen und Waren</t>
  </si>
  <si>
    <t>23.31 - Herstellung von keramischen Wand- und Bodenfliesen und -platten</t>
  </si>
  <si>
    <t>23.32 - Herstellung von Ziegeln und sonstiger Baukeramik</t>
  </si>
  <si>
    <t>23.41 - Herstellung von keramischen Haushaltswaren und Ziergegenständen</t>
  </si>
  <si>
    <t>23.42 - Herstellung von Sanitärkeramik</t>
  </si>
  <si>
    <t>23.43 - Herstellung von Isolatoren und Isolierteilen aus Keramik</t>
  </si>
  <si>
    <t>23.44 - Herstellung von keramischen Erzeugnissen für sonstige technische Zwecke</t>
  </si>
  <si>
    <t>23.49 - Herstellung von sonstigen keramischen Erzeugnissen</t>
  </si>
  <si>
    <t>23.51 - Herstellung von Zement</t>
  </si>
  <si>
    <t>23.52 - Herstellung von Kalk und gebranntem Gips</t>
  </si>
  <si>
    <t>23.61 - Herstellung von Erzeugnissen aus Beton, Zement und Kalksandstein für den Bau</t>
  </si>
  <si>
    <t>23.62 - Herstellung von Gipserzeugnissen für den Bau</t>
  </si>
  <si>
    <t>23.63 - Herstellung von Frischbeton (Transportbeton)</t>
  </si>
  <si>
    <t>23.64 - Herstellung von Mörtel und anderem Beton (Trockenbeton)</t>
  </si>
  <si>
    <t>23.65 - Herstellung von Faserzementwaren</t>
  </si>
  <si>
    <t>23.69 - Herstellung von sonstigen Erzeugnissen aus Beton, Zement und Gips a. n. g.</t>
  </si>
  <si>
    <t>23.70 - Be- und Verarbeitung von Naturwerksteinen und Natursteinen a. n. g.</t>
  </si>
  <si>
    <t>23.91 - Herstellung von Schleifkörpern und Schleifmitteln auf Unterlage</t>
  </si>
  <si>
    <t>23.99 - Herstellung von sonstigen Erzeugnissen aus nichtmetallischen Mineralien a. n. g.</t>
  </si>
  <si>
    <t>24.10 - Erzeugung von Roheisen, Stahl und Ferrolegierungen</t>
  </si>
  <si>
    <t>24.20 - Herstellung von Stahlrohren, Rohrform-, Rohrverschluss- und Rohrverbindungsstücken aus Stahl</t>
  </si>
  <si>
    <t>24.31 - Herstellung von Blankstahl</t>
  </si>
  <si>
    <t>24.32 - Herstellung von Kaltband mit einer Breite von weniger als 600 mm</t>
  </si>
  <si>
    <t>24.33 - Herstellung von Kaltprofilen</t>
  </si>
  <si>
    <t>24.34 - Herstellung von kaltgezogenem Draht</t>
  </si>
  <si>
    <t>24.41 - Erzeugung und erste Bearbeitung von Edelmetallen</t>
  </si>
  <si>
    <t>24.42 - Erzeugung und erste Bearbeitung von Aluminium</t>
  </si>
  <si>
    <t>24.43 - Erzeugung und erste Bearbeitung von Blei, Zink und Zinn</t>
  </si>
  <si>
    <t>24.44 - Erzeugung und erste Bearbeitung von Kupfer</t>
  </si>
  <si>
    <t>24.45 - Erzeugung und erste Bearbeitung von sonstigen NE-Metallen</t>
  </si>
  <si>
    <t>24.46 - Aufbereitung von Kernbrennstoffen</t>
  </si>
  <si>
    <t>24.51 - Eisengießereien</t>
  </si>
  <si>
    <t>24.52 - Stahlgießereien</t>
  </si>
  <si>
    <t>24.53 - Leichtmetallgießereien</t>
  </si>
  <si>
    <t>24.54 - Buntmetallgießereien</t>
  </si>
  <si>
    <t>25.11 - Herstellung von Metallkonstruktionen</t>
  </si>
  <si>
    <t>25.12 - Herstellung von Ausbauelementen aus Metall</t>
  </si>
  <si>
    <t>25.21 - Herstellung von Heizkörpern und -kesseln für Zentralheizungen</t>
  </si>
  <si>
    <t>25.29 - Herstellung von Sammelbehältern, Tanks u. ä. Behältern aus Metall</t>
  </si>
  <si>
    <t>25.30 - Herstellung von Dampfkesseln (ohne Zentralheizungskessel)</t>
  </si>
  <si>
    <t>25.40 - Herstellung von Waffen und Munition</t>
  </si>
  <si>
    <t>25.50 - Herstellung von Schmiede-, Press-, Zieh- und Stanzteilen, gewalzten Ringen und pulvermetallurgischen Erzeugnissen</t>
  </si>
  <si>
    <t>25.61 - Oberflächenveredlung und Wärmebehandlung</t>
  </si>
  <si>
    <t>25.62 - Mechanik a. n. g.</t>
  </si>
  <si>
    <t>25.71 - Herstellung von Schneidwaren und Bestecken aus unedlen Metallen</t>
  </si>
  <si>
    <t>25.72 - Herstellung von Schlössern und Beschlägen aus unedlen Metallen</t>
  </si>
  <si>
    <t>25.73 - Herstellung von Werkzeugen</t>
  </si>
  <si>
    <t>25.91 - Herstellung von Fässern, Trommeln, Dosen, Eimern u. ä. Behältern aus Metall</t>
  </si>
  <si>
    <t>25.92 - Herstellung von Verpackungen und Verschlüssen aus Eisen, Stahl und NE-Metall</t>
  </si>
  <si>
    <t>25.93 - Herstellung von Drahtwaren, Ketten und Federn</t>
  </si>
  <si>
    <t>25.94 - Herstellung von Schrauben und Nieten</t>
  </si>
  <si>
    <t>25.99 - Herstellung von sonstigen Metallwaren a. n. g.</t>
  </si>
  <si>
    <t>26.11 - Herstellung von elektronischen Bauelementen</t>
  </si>
  <si>
    <t>26.12 - Herstellung von bestückten Leiterplatten</t>
  </si>
  <si>
    <t>26.20 - Herstellung von Datenverarbeitungsgeräten und peripheren Geräten</t>
  </si>
  <si>
    <t>26.30 - Herstellung von Geräten und Einrichtungen der Telekommunikationstechnik</t>
  </si>
  <si>
    <t>26.40 - Herstellung von Geräten der Unterhaltungselektronik</t>
  </si>
  <si>
    <t>26.51 - Herstellung von Mess-, Kontroll-, Navigations- u. ä. Instrumenten und Vorrichtungen</t>
  </si>
  <si>
    <t>26.52 - Herstellung von Uhren</t>
  </si>
  <si>
    <t>26.60 - Herstellung von Bestrahlungs- und Elektrotherapiegeräten und elektromedizinischen Geräten</t>
  </si>
  <si>
    <t>26.70 - Herstellung von optischen und fotografischen Instrumenten und Geräten</t>
  </si>
  <si>
    <t>26.80 - Herstellung von magnetischen und optischen Datenträgern</t>
  </si>
  <si>
    <t>27.11 - Herstellung von Elektromotoren, Generatoren und Transformatoren</t>
  </si>
  <si>
    <t>27.12 - Herstellung von Elektrizitätsverteilungs- und -schalteinrichtungen</t>
  </si>
  <si>
    <t>27.20 - Herstellung von Batterien und Akkumulatoren</t>
  </si>
  <si>
    <t>27.31 - Herstellung von Glasfaserkabeln</t>
  </si>
  <si>
    <t>27.32 - Herstellung von sonstigen elektronischen und elektrischen Drähten und Kabeln</t>
  </si>
  <si>
    <t>27.33 - Herstellung von elektrischem Installationsmaterial</t>
  </si>
  <si>
    <t>27.40 - Herstellung von elektrischen Lampen und Leuchten</t>
  </si>
  <si>
    <t>27.51 - Herstellung von elektrischen Haushaltsgeräten</t>
  </si>
  <si>
    <t>27.52 - Herstellung von nicht elektrischen Haushaltsgeräten</t>
  </si>
  <si>
    <t>27.90 - Herstellung von sonstigen elektrischen Ausrüstungen und Geräten a. n. g.</t>
  </si>
  <si>
    <t>28.11 - Herstellung von Verbrennungsmotoren und Turbinen (ohne Motoren für Luft- und Straßenfahrzeuge)</t>
  </si>
  <si>
    <t>28.12 - Herstellung von hydraulischen und pneumatischen Komponenten und Systemen</t>
  </si>
  <si>
    <t>28.13 - Herstellung von Pumpen und Kompressoren a. n. g.</t>
  </si>
  <si>
    <t>28.14 - Herstellung von Armaturen a. n. g</t>
  </si>
  <si>
    <t>28.15 - Herstellung von Lagern, Getrieben, Zahnrädern und Antriebselementen</t>
  </si>
  <si>
    <t>28.21 - Herstellung von Öfen und Brennern</t>
  </si>
  <si>
    <t>28.22 - Herstellung von Hebezeugen und Fördermitteln</t>
  </si>
  <si>
    <t>28.23 - Herstellung von Büromaschinen (ohne Datenverarbeitungsgeräte und periphere Geräte)</t>
  </si>
  <si>
    <t>28.24 - Herstellung von handgeführten Werkzeugen mit Motorantrieb</t>
  </si>
  <si>
    <t>28.25 - Herstellung von kälte- und lufttechnischen Erzeugnissen, nicht für den Haushalt</t>
  </si>
  <si>
    <t>28.29 - Herstellung von sonstigen nicht wirtschaftszweigspezifischen Maschinen a. n. g.</t>
  </si>
  <si>
    <t>28.30 - Herstellung von land- und forstwirtschaftlichen Maschinen</t>
  </si>
  <si>
    <t>28.41 - Herstellung von Werkzeugmaschinen für die Metallbearbeitung</t>
  </si>
  <si>
    <t>28.49 - Herstellung von sonstigen Werkzeugmaschinen</t>
  </si>
  <si>
    <t>28.91 - Herstellung von Maschinen für die Metallerzeugung, von Walzwerkseinrichtungen und Gießmaschinen</t>
  </si>
  <si>
    <t>28.92 - Herstellung von Bergwerks-, Bau- und Baustoffmaschinen</t>
  </si>
  <si>
    <t>28.93 - Herstellung von Maschinen für die Nahrungs- und Genussmittelerzeugung und die Tabakverarbeitung</t>
  </si>
  <si>
    <t>28.94 - Herstellung von Maschinen für die Textil- und Bekleidungsherstellung und die Lederverarbeitung</t>
  </si>
  <si>
    <t>28.95 - Herstellung von Maschinen für die Papiererzeugung und -verarbeitung</t>
  </si>
  <si>
    <t>28.96 - Herstellung von Maschinen für die Verarbeitung von Kunststoffen und Kautschuk</t>
  </si>
  <si>
    <t>28.99 - Herstellung von Maschinen für sonstige bestimmte Wirtschaftszweige a. n. g.</t>
  </si>
  <si>
    <t>29.10 - Herstellung von Kraftwagen und Kraftwagenmotoren</t>
  </si>
  <si>
    <t>29.20 - Herstellung von Karosserien, Aufbauten und Anhängern</t>
  </si>
  <si>
    <t>29.31 - Herstellung elektrischer und elektronischer Ausrüstungsgegenstände für Kraftwagen</t>
  </si>
  <si>
    <t>29.32 - Herstellung von sonstigen Teilen und sonstigem Zubehör für Kraftwagen</t>
  </si>
  <si>
    <t>30.11 - Schiffbau (ohne Boots- und Yachtbau)</t>
  </si>
  <si>
    <t>30.12 - Boots- und Yachtbau</t>
  </si>
  <si>
    <t>30.20 - Schienenfahrzeugbau</t>
  </si>
  <si>
    <t>30.30 - Luft- und Raumfahrzeugbau</t>
  </si>
  <si>
    <t>30.40 - Herstellung von militärischen Kampffahrzeugen</t>
  </si>
  <si>
    <t>30.91 - Herstellung von Krafträdern</t>
  </si>
  <si>
    <t>30.92 - Herstellung von Fahrrädern sowie von Behindertenfahrzeugen</t>
  </si>
  <si>
    <t>30.99 - Herstellung von sonstigen Fahrzeugen a. n. g.</t>
  </si>
  <si>
    <t>31.01 - Herstellung von Büro- und Ladenmöbeln</t>
  </si>
  <si>
    <t>31.02 - Herstellung von Küchenmöbeln</t>
  </si>
  <si>
    <t>31.03 - Herstellung von Matratzen</t>
  </si>
  <si>
    <t>31.09 - Herstellung von sonstigen Möbeln</t>
  </si>
  <si>
    <t>32.11 - Herstellung von Münzen</t>
  </si>
  <si>
    <t>32.12 - Herstellung von Schmuck, Gold- und Silberschmiedewaren (ohne Fantasieschmuck)</t>
  </si>
  <si>
    <t>32.13 - Herstellung von Fantasieschmuck</t>
  </si>
  <si>
    <t>32.20 - Herstellung von Musikinstrumenten</t>
  </si>
  <si>
    <t>32.30 - Herstellung von Sportgeräten</t>
  </si>
  <si>
    <t>32.40 - Herstellung von Spielwaren</t>
  </si>
  <si>
    <t>32.50 - Herstellung von medizinischen und zahnmedizinischen Apparaten und Materialien</t>
  </si>
  <si>
    <t>32.91 - Herstellung von Besen und Bürsten</t>
  </si>
  <si>
    <t>32.99 - Herstellung von sonstigen Erzeugnissen a. n. g.</t>
  </si>
  <si>
    <t>33.11 - Reparatur von Metallerzeugnissen</t>
  </si>
  <si>
    <t>33.12 - Reparatur von Maschinen</t>
  </si>
  <si>
    <t>33.13 - Reparatur von elektronischen und optischen Geräten</t>
  </si>
  <si>
    <t>33.14 - Reparatur von elektrischen Ausrüstungen</t>
  </si>
  <si>
    <t>33.15 - Reparatur und Instandhaltung von Schiffen, Booten und Yachten</t>
  </si>
  <si>
    <t>33.16 - Reparatur und Instandhaltung von Luft- und Raumfahrzeugen</t>
  </si>
  <si>
    <t>33.17 - Reparatur und Instandhaltung von Fahrzeugen a. n. g.</t>
  </si>
  <si>
    <t>33.19 - Reparatur von sonstigen Ausrüstungen</t>
  </si>
  <si>
    <t>33.20 - Installation von Maschinen und Ausrüstungen a. n. g.</t>
  </si>
  <si>
    <t>35.11 - Elektrizitätserzeugung</t>
  </si>
  <si>
    <t>35.12 - Elektrizitätsübertragung</t>
  </si>
  <si>
    <t>35.13 - Elektrizitätsverteilung</t>
  </si>
  <si>
    <t>35.14 - Elektrizitätshandel</t>
  </si>
  <si>
    <t>35.21 - Gaserzeugung</t>
  </si>
  <si>
    <t>35.22 - Gasverteilung durch Rohrleitungen</t>
  </si>
  <si>
    <t>35.23 - Gashandel durch Rohrleitungen</t>
  </si>
  <si>
    <t>35.30 - Wärme- und Kälteversorgung</t>
  </si>
  <si>
    <t>36.00 - Wasserversorgung</t>
  </si>
  <si>
    <t>37.00 - Abwasserentsorgung</t>
  </si>
  <si>
    <t>38.11 - Sammlung nicht gefährlicher Abfälle</t>
  </si>
  <si>
    <t>38.12 - Sammlung gefährlicher Abfälle</t>
  </si>
  <si>
    <t>38.21 - Behandlung und Beseitigung nicht gefährlicher Abfälle</t>
  </si>
  <si>
    <t>38.22 - Behandlung und Beseitigung gefährlicher Abfälle</t>
  </si>
  <si>
    <t>38.31 - Zerlegen von Schiffs- und Fahrzeugwracks und anderen Altwaren</t>
  </si>
  <si>
    <t>38.32 - Rückgewinnung sortierter Werkstoffe</t>
  </si>
  <si>
    <t>39.00 - Beseitigung von Umweltverschmutzungen und sonstige Entsorgung</t>
  </si>
  <si>
    <t>41.10 - Erschließung von Grundstücken; Bauträger</t>
  </si>
  <si>
    <t>41.20 - Bau von Gebäuden</t>
  </si>
  <si>
    <t>42.11 - Bau von Straßen</t>
  </si>
  <si>
    <t>42.12 - Bau von Bahnverkehrsstrecken</t>
  </si>
  <si>
    <t>42.13 - Brücken- und Tunnelbau</t>
  </si>
  <si>
    <t>42.21 - Rohrleitungstiefbau, Brunnenbau und Kläranlagenbau</t>
  </si>
  <si>
    <t>42.22 - Kabelnetzleitungstiefbau</t>
  </si>
  <si>
    <t>42.91 - Wasserbau</t>
  </si>
  <si>
    <t>42.99 - Sonstiger Tiefbau a. n. g.</t>
  </si>
  <si>
    <t>43.11 - Abbrucharbeiten</t>
  </si>
  <si>
    <t>43.12 - Vorbereitende Baustellenarbeiten</t>
  </si>
  <si>
    <t>43.13 - Test- und Suchbohrung</t>
  </si>
  <si>
    <t>43.21 - Elektroinstallation</t>
  </si>
  <si>
    <t>43.22 - Gas-, Wasser-, Heizungs- sowie Lüftungs- und Klimainstallation</t>
  </si>
  <si>
    <t>43.29 - Sonstige Bauinstallation</t>
  </si>
  <si>
    <t>43.31 - Anbringen von Stuckaturen, Gipserei und Verputzerei</t>
  </si>
  <si>
    <t>43.32 - Bautischlerei und -schlosserei</t>
  </si>
  <si>
    <t>43.33 - Fußboden-, Fliesen- und Plattenlegerei, Tapeziererei</t>
  </si>
  <si>
    <t>43.34 - Malerei und Glaserei</t>
  </si>
  <si>
    <t>43.39 - Sonstiger Ausbau a. n. g.</t>
  </si>
  <si>
    <t>43.91 - Dachdeckerei und Zimmerei</t>
  </si>
  <si>
    <t>43.99 - Sonstige spezialisierte Bautätigkeiten a. n. g.</t>
  </si>
  <si>
    <t>45.11 - Handel mit Kraftwagen mit einem Gesamtgewicht von 3,5 t oder weniger</t>
  </si>
  <si>
    <t>45.19 - Handel mit Kraftwagen mit einem Gesamtgewicht von mehr als 3,5 t</t>
  </si>
  <si>
    <t>45.20 - Instandhaltung und Reparatur von Kraftwagen</t>
  </si>
  <si>
    <t>45.31 - Großhandel mit Kraftwagenteilen und -zubehör</t>
  </si>
  <si>
    <t>45.32 - Einzelhandel mit Kraftwagenteilen und -zubehör</t>
  </si>
  <si>
    <t>45.40 - Handel mit Krafträdern, Kraftradteilen und -zubehör; Instandhaltung und Reparatur von Krafträdern</t>
  </si>
  <si>
    <t>46.11 - Handelsvermittlung von landwirtschaftlichen Grundstoffen, lebenden Tieren, textilen Rohstoffen und Halbwaren</t>
  </si>
  <si>
    <t>46.12 - Handelsvermittlung von Brennstoffen, Erzen, Metallen und technischen Chemikalien</t>
  </si>
  <si>
    <t>46.13 - Handelsvermittlung von Holz, Baustoffen und Anstrichmitteln</t>
  </si>
  <si>
    <t>46.14 - Handelsvermittlung von Maschinen, technischem Bedarf, Wasser- und Luftfahrzeugen</t>
  </si>
  <si>
    <t>46.15 - Handelsvermittlung von Möbeln, Einrichtungs- und Haushaltsgegenständen, Eisen- und Metallwaren</t>
  </si>
  <si>
    <t>46.16 - Handelsvermittlung von Textilien, Bekleidung, Schuhen und Lederwaren</t>
  </si>
  <si>
    <t>46.17 - Handelsvermittlung von Nahrungsmitteln, Getränken und Tabakwaren</t>
  </si>
  <si>
    <t>46.18 - Handelsvermittlung von sonstigen Waren</t>
  </si>
  <si>
    <t>46.19 - Handelsvermittlung von Waren ohne ausgeprägten Schwerpunkt</t>
  </si>
  <si>
    <t>46.21 - Großhandel mit Getreide, Rohtabak, Saatgut und Futtermitteln</t>
  </si>
  <si>
    <t>46.22 - Großhandel mit Blumen und Pflanzen</t>
  </si>
  <si>
    <t>46.23 - Großhandel mit lebenden Tieren</t>
  </si>
  <si>
    <t>46.24 - Großhandel mit Häuten, Fellen und Leder</t>
  </si>
  <si>
    <t>46.31 - Großhandel mit Obst, Gemüse und Kartoffeln</t>
  </si>
  <si>
    <t>46.32 - Großhandel mit Fleisch und Fleischwaren</t>
  </si>
  <si>
    <t>46.33 - Großhandel mit Milch, Milcherzeugnissen, Eiern, Speiseölen und Nahrungsfetten</t>
  </si>
  <si>
    <t>46.34 - Großhandel mit Getränken</t>
  </si>
  <si>
    <t>46.35 - Großhandel mit Tabakwaren</t>
  </si>
  <si>
    <t>46.36 - Großhandel mit Zucker, Süßwaren und Backwaren</t>
  </si>
  <si>
    <t>46.37 - Großhandel mit Kaffee, Tee, Kakao und Gewürzen</t>
  </si>
  <si>
    <t>46.38 - Großhandel mit sonstigen Nahrungs- und Genussmitteln</t>
  </si>
  <si>
    <t>46.39 - Großhandel mit Nahrungs- und Genussmitteln, Getränken und Tabakwaren, ohne ausgeprägten Schwerpunkt</t>
  </si>
  <si>
    <t>46.41 - Großhandel mit Textilien</t>
  </si>
  <si>
    <t>46.42 - Großhandel mit Bekleidung und Schuhen</t>
  </si>
  <si>
    <t>46.43 - Großhandel mit Foto- und optischen Erzeugnissen, elektrischen Haushaltsgeräten und Geräten der Unterhaltungselektronik</t>
  </si>
  <si>
    <t>46.44 - Großhandel mit keramischen Erzeugnissen, Glaswaren und Reinigungsmitteln</t>
  </si>
  <si>
    <t>46.45 - Großhandel mit kosmetischen Erzeugnissen und Körperpflegemitteln</t>
  </si>
  <si>
    <t>46.46 - Großhandel mit pharmazeutischen, medizinischen und orthopädischen Erzeugnissen</t>
  </si>
  <si>
    <t>46.47 - Großhandel mit Möbeln, Teppichen, Lampen und Leuchten</t>
  </si>
  <si>
    <t>46.48 - Großhandel mit Uhren und Schmuck</t>
  </si>
  <si>
    <t>46.49 - Großhandel mit sonstigen Gebrauchs- und Verbrauchsgütern</t>
  </si>
  <si>
    <t>46.51 - Großhandel mit Datenverarbeitungsgeräten, peripheren Geräten und Software</t>
  </si>
  <si>
    <t>46.52 - Großhandel mit elektronischen Bauteilen und Telekommunikationsgeräten</t>
  </si>
  <si>
    <t>46.61 - Großhandel mit landwirtschaftlichen Maschinen und Geräten</t>
  </si>
  <si>
    <t>46.62 - Großhandel mit Werkzeugmaschinen</t>
  </si>
  <si>
    <t>46.63 - Großhandel mit Bergwerks-, Bau- und Baustoffmaschinen</t>
  </si>
  <si>
    <t>46.64 - Großhandel mit Textil-, Näh- und Strickmaschinen</t>
  </si>
  <si>
    <t>46.65 - Großhandel mit Büromöbeln</t>
  </si>
  <si>
    <t>46.66 - Großhandel mit sonstigen Büromaschinen und -einrichtungen</t>
  </si>
  <si>
    <t>46.69 - Großhandel mit sonstigen Maschinen und Ausrüstungen</t>
  </si>
  <si>
    <t>46.71 - Großhandel mit festen Brennstoffen und Mineralölerzeugnissen</t>
  </si>
  <si>
    <t>46.72 - Großhandel mit Erzen, Metallen und Metallhalbzeug</t>
  </si>
  <si>
    <t>46.73 - Großhandel mit Holz, Baustoffen, Anstrichmitteln und Sanitärkeramik</t>
  </si>
  <si>
    <t>46.74 - Großhandel mit Metall- und Kunststoffwaren für Bauzwecke sowie Installationsbedarf für Gas, Wasser und Heizung</t>
  </si>
  <si>
    <t>46.75 - Großhandel mit chemischen Erzeugnissen</t>
  </si>
  <si>
    <t>46.76 - Großhandel mit sonstigen Halbwaren</t>
  </si>
  <si>
    <t>46.77 - Großhandel mit Altmaterialien und Reststoffen</t>
  </si>
  <si>
    <t>46.90 - Großhandel ohne ausgeprägten Schwerpunkt</t>
  </si>
  <si>
    <t>47.11 - Einzelhandel mit Waren verschiedener Art, Hauptrichtung Nahrungs- und Genussmittel, Getränke und Tabakwaren</t>
  </si>
  <si>
    <t>47.19 - Sonstiger Einzelhandel mit Waren verschiedener Art</t>
  </si>
  <si>
    <t>47.21 - Einzelhandel mit Obst, Gemüse und Kartoffeln</t>
  </si>
  <si>
    <t>47.22 - Einzelhandel mit Fleisch und Fleischwaren</t>
  </si>
  <si>
    <t>47.23 - Einzelhandel mit Fisch, Meeresfrüchten und Fischerzeugnissen</t>
  </si>
  <si>
    <t>47.24 - Einzelhandel mit Back- und Süßwaren</t>
  </si>
  <si>
    <t>47.25 - Einzelhandel mit Getränken</t>
  </si>
  <si>
    <t>47.26 - Einzelhandel mit Tabakwaren</t>
  </si>
  <si>
    <t>47.29 - Sonstiger Einzelhandel mit Nahrungs- und Genussmitteln</t>
  </si>
  <si>
    <t>47.30 - Einzelhandel mit Motorenkraftstoffen (Tankstellen)</t>
  </si>
  <si>
    <t>47.41 - Einzelhandel mit Datenverarbeitungsgeräten, peripheren Geräten und Software</t>
  </si>
  <si>
    <t>47.42 - Einzelhandel mit Telekommunikationsgeräten</t>
  </si>
  <si>
    <t>47.43 - Einzelhandel mit Geräten der Unterhaltungselektronik</t>
  </si>
  <si>
    <t>47.51 - Einzelhandel mit Textilien</t>
  </si>
  <si>
    <t>47.52 - Einzelhandel mit Metallwaren, Anstrichmitteln, Bau- und Heimwerkerbedarf</t>
  </si>
  <si>
    <t>47.53 - Einzelhandel mit Vorhängen, Teppichen, Fußbodenbelägen und Tapeten</t>
  </si>
  <si>
    <t>47.54 - Einzelhandel mit elektrischen Haushaltsgeräten</t>
  </si>
  <si>
    <t>47.59 - Einzelhandel mit Möbeln, Einrichtungsgegenständen und sonstigem Hausrat</t>
  </si>
  <si>
    <t>47.61 - Einzelhandel mit Büchern</t>
  </si>
  <si>
    <t>47.62 - Einzelhandel mit Zeitschriften, Zeitungen, Schreibwaren und Bürobedarf</t>
  </si>
  <si>
    <t>47.63 - Einzelhandel mit bespielten Ton- und Bildträgern</t>
  </si>
  <si>
    <t>47.64 - Einzelhandel mit Fahrrädern, Sport- und Campingartikeln</t>
  </si>
  <si>
    <t>47.65 - Einzelhandel mit Spielwaren</t>
  </si>
  <si>
    <t>47.71 - Einzelhandel mit Bekleidung</t>
  </si>
  <si>
    <t>47.72 - Einzelhandel mit Schuhen und Lederwaren</t>
  </si>
  <si>
    <t>47.73 - Apotheken</t>
  </si>
  <si>
    <t>47.74 - Einzelhandel mit medizinischen und orthopädischen Artikeln</t>
  </si>
  <si>
    <t>47.75 - Einzelhandel mit kosmetischen Erzeugnissen und Körperpflegemitteln</t>
  </si>
  <si>
    <t>47.76 - Einzelhandel mit Blumen, Pflanzen, Sämereien, Düngemitteln, zoologischem Bedarf und lebenden Tieren</t>
  </si>
  <si>
    <t>47.77 - Einzelhandel mit Uhren und Schmuck</t>
  </si>
  <si>
    <t>47.78 - Sonstiger Einzelhandel in Verkaufsräumen (ohne Antiquitäten und Gebrauchtwaren)</t>
  </si>
  <si>
    <t>47.79 - Einzelhandel mit Antiquitäten und Gebrauchtwaren</t>
  </si>
  <si>
    <t>47.81 - Einzelhandel mit Nahrungs- und Genussmitteln, Getränken und Tabakwaren an Verkaufsständen und auf Märkten</t>
  </si>
  <si>
    <t>47.82 - Einzelhandel mit Textilien, Bekleidung und Schuhen an Verkaufsständen und auf Märkten</t>
  </si>
  <si>
    <t>47.89 - Einzelhandel mit sonstigen Gütern an Verkaufsständen und auf Märkten</t>
  </si>
  <si>
    <t>47.91 - Versand- und Internet-Einzelhandel</t>
  </si>
  <si>
    <t>47.99 - Sonstiger Einzelhandel, nicht in Verkaufsräumen, an Verkaufsständen oder auf Märkten</t>
  </si>
  <si>
    <t>49.10 - Personenbeförderung im Eisenbahnfernverkehr</t>
  </si>
  <si>
    <t>49.20 - Güterbeförderung im Eisenbahnverkehr</t>
  </si>
  <si>
    <t>49.31 - Personenbeförderung im Nahverkehr zu Lande (ohne Taxis)</t>
  </si>
  <si>
    <t>49.32 - Betrieb von Taxis</t>
  </si>
  <si>
    <t>49.39 - Sonstige Personenbeförderung im Landverkehr a. n. g.</t>
  </si>
  <si>
    <t>49.41 - Güterbeförderung im Straßenverkehr</t>
  </si>
  <si>
    <t>49.42 - Umzugstransporte</t>
  </si>
  <si>
    <t>49.50 - Transport in Rohrfernleitungen</t>
  </si>
  <si>
    <t>50.10 - Personenbeförderung in der See- und Küstenschifffahrt</t>
  </si>
  <si>
    <t>50.20 - Güterbeförderung in der See- und Küstenschifffahrt</t>
  </si>
  <si>
    <t>50.30 - Personenbeförderung in der Binnenschifffahrt</t>
  </si>
  <si>
    <t>50.40 - Güterbeförderung in der Binnenschifffahrt</t>
  </si>
  <si>
    <t>51.10 - Personenbeförderung in der Luftfahrt</t>
  </si>
  <si>
    <t>51.21 - Güterbeförderung in der Luftfahrt</t>
  </si>
  <si>
    <t>51.22 - Raumtransport</t>
  </si>
  <si>
    <t>52.10 - Lagerei</t>
  </si>
  <si>
    <t>52.21 - Erbringung von sonstigen Dienstleistungen für den Landverkehr</t>
  </si>
  <si>
    <t>52.22 - Erbringung von sonstigen Dienstleistungen für die Schifffahrt</t>
  </si>
  <si>
    <t>52.23 - Erbringung von sonstigen Dienstleistungen für die Luftfahrt</t>
  </si>
  <si>
    <t>52.24 - Frachtumschlag</t>
  </si>
  <si>
    <t>52.29 - Erbringung von sonstigen Dienstleistungen für den Verkehr a. n. g.</t>
  </si>
  <si>
    <t>53.10 - Postdienste von Universaldienstleistungsanbietern</t>
  </si>
  <si>
    <t>53.20 - Sonstige Post-, Kurier- und Expressdienste</t>
  </si>
  <si>
    <t>55.10 - Hotels, Gasthöfe und Pensionen</t>
  </si>
  <si>
    <t>55.20 - Ferienunterkünfte und ähnliche Beherbergungsstätten</t>
  </si>
  <si>
    <t>55.30 - Campingplätze</t>
  </si>
  <si>
    <t>55.90 - Sonstige Beherbergungsstätten</t>
  </si>
  <si>
    <t>56.10 - Restaurants, Gaststätten, Imbissstuben, Cafés, Eissalons u. Ä.</t>
  </si>
  <si>
    <t>56.21 - Event-Caterer</t>
  </si>
  <si>
    <t>56.29 - Erbringung sonstiger Verpflegungsdienstleistungen</t>
  </si>
  <si>
    <t>56.30 - Ausschank von Getränken</t>
  </si>
  <si>
    <t>58.11 - Verlegen von Büchern</t>
  </si>
  <si>
    <t>58.12 - Verlegen von Adressbüchern und Verzeichnissen</t>
  </si>
  <si>
    <t>58.13 - Verlegen von Zeitungen</t>
  </si>
  <si>
    <t>58.14 - Verlegen von Zeitschriften</t>
  </si>
  <si>
    <t>58.19 - Sonstiges Verlagswesen (ohne Software)</t>
  </si>
  <si>
    <t>58.21 - Verlegen von Computerspielen</t>
  </si>
  <si>
    <t>58.29 - Verlegen von sonstiger Software</t>
  </si>
  <si>
    <t>59.11 - Herstellung von Filmen, Videofilmen und Fernsehprogrammen</t>
  </si>
  <si>
    <t>59.12 - Nachbearbeitung und sonstige Filmtechnik</t>
  </si>
  <si>
    <t>59.13 - Filmverleih und -vertrieb (ohne Videotheken)</t>
  </si>
  <si>
    <t>59.14 - Kinos</t>
  </si>
  <si>
    <t>59.20 - Tonstudios; Herstellung von Hörfunkbeiträgen; Verlegen von bespielten Tonträgern und Musikalien</t>
  </si>
  <si>
    <t>60.10 - Hörfunkveranstalter</t>
  </si>
  <si>
    <t>60.20 - Fernsehveranstalter</t>
  </si>
  <si>
    <t>61.10 - Leitungsgebundene Telekommunikation</t>
  </si>
  <si>
    <t>61.20 - Drahtlose Telekommunikation</t>
  </si>
  <si>
    <t>61.30 - Satellitentelekommunikation</t>
  </si>
  <si>
    <t>61.90 - Sonstige Telekommunikation</t>
  </si>
  <si>
    <t>62.01 - Programmierungstätigkeiten</t>
  </si>
  <si>
    <t>62.02 - Erbringung von Beratungsleistungen auf dem Gebiet der Informationstechnologie</t>
  </si>
  <si>
    <t>62.03 - Betrieb von Datenverarbeitungseinrichtungen für Dritte</t>
  </si>
  <si>
    <t>62.09 - Erbringung von sonstigen Dienstleistungen der Informationstechnologie</t>
  </si>
  <si>
    <t>63.11 - Datenverarbeitung, Hosting und damit verbundene Tätigkeiten</t>
  </si>
  <si>
    <t>63.12 - Webportale</t>
  </si>
  <si>
    <t>63.91 - Korrespondenz- und Nachrichtenbüros</t>
  </si>
  <si>
    <t>63.99 - Erbringung von sonstigen Informationsdienstleistungen a. n. g.</t>
  </si>
  <si>
    <t>64.11 - Zentralbanken</t>
  </si>
  <si>
    <t>64.19 - Kreditinstitute (ohne Spezialkreditinstitute)</t>
  </si>
  <si>
    <t>64.20 - Beteiligungsgesellschaften</t>
  </si>
  <si>
    <t>64.30 - Treuhand- und sonstige Fonds und ähnliche Finanzinstitutionen</t>
  </si>
  <si>
    <t>64.91 - Institutionen für Finanzierungsleasing</t>
  </si>
  <si>
    <t>64.92 - Spezialkreditinstitute</t>
  </si>
  <si>
    <t>64.99 - Sonstige Finanzdienstleistungen a. n. g.</t>
  </si>
  <si>
    <t>65.11 - Lebensversicherungen</t>
  </si>
  <si>
    <t>65.12 - Nichtlebensversicherungen</t>
  </si>
  <si>
    <t>65.20 - Rückversicherungen</t>
  </si>
  <si>
    <t>65.30 - Pensionskassen und Pensionsfonds</t>
  </si>
  <si>
    <t>66.11 - Effekten- und Warenbörsen</t>
  </si>
  <si>
    <t>66.12 - Effekten- und Warenhandel</t>
  </si>
  <si>
    <t>66.19 - Sonstige mit Finanzdienstleistungen verbundene Tätigkeiten</t>
  </si>
  <si>
    <t>66.21 - Risiko- und Schadensbewertung</t>
  </si>
  <si>
    <t>66.22 - Tätigkeit von Versicherungsmaklerinnen und -maklern</t>
  </si>
  <si>
    <t>66.29 - Sonstige mit Versicherungsdienstleistungen und Pensionskassen verbundene Tätigkeiten</t>
  </si>
  <si>
    <t>66.30 - Fondsmanagement</t>
  </si>
  <si>
    <t>68.10 - Kauf und Verkauf von eigenen Grundstücken, Gebäuden und Wohnungen</t>
  </si>
  <si>
    <t>68.20 - Vermietung, Verpachtung von eigenen oder geleasten Grundstücken, Gebäuden und Wohnungen</t>
  </si>
  <si>
    <t>68.31 - Vermittlung von Grundstücken, Gebäuden und Wohnungen für Dritte</t>
  </si>
  <si>
    <t>68.32 - Verwaltung von Grundstücken, Gebäuden und Wohnungen für Dritte</t>
  </si>
  <si>
    <t>69.10 - Rechtsberatung</t>
  </si>
  <si>
    <t>69.20 - Wirtschaftsprüfung und Steuerberatung; Buchführung</t>
  </si>
  <si>
    <t>70.10 - Verwaltung und Führung von Unternehmen und Betrieben</t>
  </si>
  <si>
    <t>70.21 - Public-Relations-Beratung</t>
  </si>
  <si>
    <t>70.22 - Unternehmensberatung</t>
  </si>
  <si>
    <t>71.11 - Architekturbüros</t>
  </si>
  <si>
    <t>71.12 - Ingenieurbüros</t>
  </si>
  <si>
    <t>71.20 - Technische, physikalische und chemische Untersuchung</t>
  </si>
  <si>
    <t>72.11 - Forschung und Entwicklung im Bereich Biotechnologie</t>
  </si>
  <si>
    <t>72.19 - Sonstige Forschung und Entwicklung im Bereich Natur-, Ingenieur-, Agrarwissenschaften und Medizin</t>
  </si>
  <si>
    <t>72.20 - Forschung und Entwicklung im Bereich Rechts-, Wirtschafts- und Sozialwissenschaften sowie im Bereich Sprach-, Kultur- und Kunstwissenschaften</t>
  </si>
  <si>
    <t>73.11 - Werbeagenturen</t>
  </si>
  <si>
    <t>73.12 - Vermarktung und Vermittlung von Werbezeiten und Werbeflächen</t>
  </si>
  <si>
    <t>73.20 - Markt- und Meinungsforschung</t>
  </si>
  <si>
    <t>74.10 - Ateliers für Textil-, Schmuck-, Grafik- u. ä. Design</t>
  </si>
  <si>
    <t>74.20 - Fotografie und Fotolabors</t>
  </si>
  <si>
    <t>74.30 - Übersetzen und Dolmetschen</t>
  </si>
  <si>
    <t>74.90 - Sonstige freiberufliche, wissenschaftliche und technische Tätigkeiten a. n. g.</t>
  </si>
  <si>
    <t>75.00 - Veterinärwesen</t>
  </si>
  <si>
    <t>77.11 - Vermietung von Kraftwagen mit einem Gesamtgewicht von 3,5 t oder weniger</t>
  </si>
  <si>
    <t>77.12 - Vermietung von Kraftwagen mit einem Gesamtgewicht von mehr als 3,5 t</t>
  </si>
  <si>
    <t>77.21 - Vermietung von Sport- und Freizeitgeräten</t>
  </si>
  <si>
    <t>77.22 - Videotheken</t>
  </si>
  <si>
    <t>77.29 - Vermietung von sonstigen Gebrauchsgütern</t>
  </si>
  <si>
    <t>77.31 - Vermietung von landwirtschaftlichen Maschinen und Geräten</t>
  </si>
  <si>
    <t>77.32 - Vermietung von Baumaschinen und -geräten</t>
  </si>
  <si>
    <t>77.33 - Vermietung von Büromaschinen, Datenverarbeitungsgeräten und -einrichtungen</t>
  </si>
  <si>
    <t>77.34 - Vermietung von Wasserfahrzeugen</t>
  </si>
  <si>
    <t>77.35 - Vermietung von Luftfahrzeugen</t>
  </si>
  <si>
    <t>77.39 - Vermietung von sonstigen Maschinen, Geräten und beweglichen Sachen a. n. g.</t>
  </si>
  <si>
    <t>77.40 - Leasing von nichtfinanziellen immateriellen Vermögensgegenständen (ohne Copyrights)</t>
  </si>
  <si>
    <t>78.10 - Vermittlung von Arbeitskräften</t>
  </si>
  <si>
    <t>78.20 - Befristete Überlassung von Arbeitskräften</t>
  </si>
  <si>
    <t>78.30 - Sonstige Überlassung von Arbeitskräften</t>
  </si>
  <si>
    <t>79.90 - Erbringung sonstiger Reservierungsdienstleistungen</t>
  </si>
  <si>
    <t>80.10 - Private Wach- und Sicherheitsdienste</t>
  </si>
  <si>
    <t>80.20 - Sicherheitsdienste mithilfe von Überwachungs- und Alarmsystemen</t>
  </si>
  <si>
    <t>80.30 - Detekteien</t>
  </si>
  <si>
    <t>81.10 - Hausmeisterdienste</t>
  </si>
  <si>
    <t>81.21 - Allgemeine Gebäudereinigung</t>
  </si>
  <si>
    <t>81.22 - Spezielle Reinigung von Gebäuden und Reinigung von Maschinen</t>
  </si>
  <si>
    <t>81.29 - Reinigung a. n. g.</t>
  </si>
  <si>
    <t>81.30 - Garten- und Landschaftsbau sowie Erbringung von sonstigen gärtnerischen Dienstleistungen</t>
  </si>
  <si>
    <t>82.11 - Allgemeine Sekretariats- und Schreibdienste</t>
  </si>
  <si>
    <t>82.19 - Copy-Shops; Dokumentenvorbereitung und Erbringung sonstiger spezieller Sekretariatsdienste</t>
  </si>
  <si>
    <t>82.20 - Call Centers</t>
  </si>
  <si>
    <t>82.30 - Messe-, Ausstellungs- und Kongressveranstalter</t>
  </si>
  <si>
    <t>82.91 - Inkassobüros und Auskunfteien</t>
  </si>
  <si>
    <t>82.92 - Abfüllen und Verpacken</t>
  </si>
  <si>
    <t>82.99 - Erbringung sonstiger wirtschaftlicher Dienstleistungen für Unternehmen und Privatpersonen a. n. g.</t>
  </si>
  <si>
    <t>84.11 - Allgemeine öffentliche Verwaltung</t>
  </si>
  <si>
    <t>84.12 - Öffentliche Verwaltung auf den Gebieten Gesundheitswesen, Bildung, Kultur und Sozialwesen</t>
  </si>
  <si>
    <t>84.13 - Wirtschaftsförderung, -ordnung und -aufsicht</t>
  </si>
  <si>
    <t>84.21 - Auswärtige Angelegenheiten</t>
  </si>
  <si>
    <t>84.22 - Verteidigung</t>
  </si>
  <si>
    <t>84.23 - Rechtspflege</t>
  </si>
  <si>
    <t>84.24 - Öffentliche Sicherheit und Ordnung</t>
  </si>
  <si>
    <t>84.25 - Feuerwehren</t>
  </si>
  <si>
    <t>84.30 - Sozialversicherung</t>
  </si>
  <si>
    <t>85.10 - Kindergärten und Vorschulen</t>
  </si>
  <si>
    <t>85.20 - Grundschulen</t>
  </si>
  <si>
    <t>85.31 - Allgemein bildende weiterführende Schulen</t>
  </si>
  <si>
    <t>85.32 - Berufsbildende weiterführende Schulen</t>
  </si>
  <si>
    <t>85.41 - Post-sekundärer, nicht tertiärer Unterricht</t>
  </si>
  <si>
    <t>85.42 - Tertiärer Unterricht</t>
  </si>
  <si>
    <t>85.51 - Sport- und Freizeitunterricht</t>
  </si>
  <si>
    <t>85.52 - Kulturunterricht</t>
  </si>
  <si>
    <t>85.53 - Fahr- und Flugschulen</t>
  </si>
  <si>
    <t>85.59 - Sonstiger Unterricht a. n. g.</t>
  </si>
  <si>
    <t>85.60 - Erbringung von Dienstleistungen für den Unterricht</t>
  </si>
  <si>
    <t>86.10 - Krankenhäuser</t>
  </si>
  <si>
    <t>86.21 - Arztpraxen für Allgemeinmedizin</t>
  </si>
  <si>
    <t>86.22 - Facharztpraxen</t>
  </si>
  <si>
    <t>86.23 - Zahnarztpraxen</t>
  </si>
  <si>
    <t>86.90 - Gesundheitswesen a. n. g.</t>
  </si>
  <si>
    <t>87.10 - Pflegeheime</t>
  </si>
  <si>
    <t>87.20 - Stationäre Einrichtungen zur psychosozialen Betreuung, Suchtbekämpfung u. Ä.</t>
  </si>
  <si>
    <t>87.30 - Altenheime; Alten- und Behindertenwohnheime</t>
  </si>
  <si>
    <t>87.90 - Sonstige Heime (ohne Erholungs- und Ferienheime)</t>
  </si>
  <si>
    <t>88.10 - Soziale Betreuung älterer Menschen und Behinderter</t>
  </si>
  <si>
    <t>88.91 - Tagesbetreuung von Kindern</t>
  </si>
  <si>
    <t>88.99 - Sonstiges Sozialwesen a. n. g.</t>
  </si>
  <si>
    <t>92.00 - Spiel-, Wett- und Lotteriewesen</t>
  </si>
  <si>
    <t>94.11 - Wirtschafts- und Arbeitgeberverbände</t>
  </si>
  <si>
    <t>94.12 - Berufsorganisationen</t>
  </si>
  <si>
    <t>94.20 - Arbeitnehmervereinigungen</t>
  </si>
  <si>
    <t>94.91 - Kirchliche und sonstige religiöse Vereinigungen</t>
  </si>
  <si>
    <t>94.92 - Politische Parteien und Vereinigungen</t>
  </si>
  <si>
    <t>94.99 - Sonstige Interessenvertretungen und Vereinigungen a. n. g.</t>
  </si>
  <si>
    <t>95.11 - Reparatur von Datenverarbeitungsgeräten und peripheren Geräten</t>
  </si>
  <si>
    <t>95.12 - Reparatur von Telekommunikationsgeräten</t>
  </si>
  <si>
    <t>95.21 - Reparatur von Geräten der Unterhaltungselektronik</t>
  </si>
  <si>
    <t>95.22 - Reparatur von elektrischen Haushaltsgeräten und Gartengeräten</t>
  </si>
  <si>
    <t>95.23 - Reparatur von Schuhen und Lederwaren</t>
  </si>
  <si>
    <t>95.24 - Reparatur von Möbeln und Einrichtungsgegenständen</t>
  </si>
  <si>
    <t>95.25 - Reparatur von Uhren und Schmuck</t>
  </si>
  <si>
    <t>95.29 - Reparatur von sonstigen Gebrauchsgütern</t>
  </si>
  <si>
    <t>96.01 - Wäscherei und chemische Reinigung</t>
  </si>
  <si>
    <t>96.02 - Frisör- und Kosmetiksalons</t>
  </si>
  <si>
    <t>96.03 - Bestattungswesen</t>
  </si>
  <si>
    <t>Unterklasse:</t>
  </si>
  <si>
    <t>01.11.0 - Anbau von Getreide (ohne Reis), Hülsenfrüchten und Ölsaaten</t>
  </si>
  <si>
    <t>01.12.0 - Anbau von Reis</t>
  </si>
  <si>
    <t>01.13.1 - Anbau von Gemüse und Melonen</t>
  </si>
  <si>
    <t>01.13.2 - Anbau von Kartoffeln sowie sonstigen Wurzeln und Knollen</t>
  </si>
  <si>
    <t>01.14.0 - Anbau von Zuckerrohr</t>
  </si>
  <si>
    <t>01.15.0 - Anbau von Tabak</t>
  </si>
  <si>
    <t>01.16.0 - Anbau von Faserpflanzen</t>
  </si>
  <si>
    <t>01.19.1 - Anbau von Zierpflanzen zum Schnitt</t>
  </si>
  <si>
    <t>01.19.2 - Erzeugung von Blumensamen</t>
  </si>
  <si>
    <t>01.19.9 - Anbau von sonstigen einjährigen Pflanzen a. n. g.</t>
  </si>
  <si>
    <t>01.21.0 - Anbau von Wein- und Tafeltrauben</t>
  </si>
  <si>
    <t>01.22.0 - Anbau von tropischen und subtropischen Früchten</t>
  </si>
  <si>
    <t>01.23.0 - Anbau von Zitrusfrüchten</t>
  </si>
  <si>
    <t>01.24.0 - Anbau von Kern- und Steinobst</t>
  </si>
  <si>
    <t>01.25.1 - Anbau von Erdbeeren</t>
  </si>
  <si>
    <t>01.25.9 - Anbau von sonstigem Obst (ohne Erdbeeren) und Nüssen</t>
  </si>
  <si>
    <t>01.26.0 - Anbau von ölhaltigen Früchten</t>
  </si>
  <si>
    <t>01.27.0 - Anbau von Pflanzen zur Herstellung von Getränken</t>
  </si>
  <si>
    <t>01.28.0 - Anbau von Gewürzpflanzen, Pflanzen für aromatische, narkotische und pharmazeutische Zwecke</t>
  </si>
  <si>
    <t>01.29.0 - Anbau sonstiger mehrjähriger Pflanzen</t>
  </si>
  <si>
    <t>01.30.1 - Anbau von Zimmerpflanzen, Beet- und Balkonpflanzen</t>
  </si>
  <si>
    <t>01.30.2 - Betrieb von Baumschulen</t>
  </si>
  <si>
    <t>01.41.0 - Haltung von Milchkühen</t>
  </si>
  <si>
    <t>01.42.0 - Haltung von anderen Rindern</t>
  </si>
  <si>
    <t>01.43.0 - Haltung von Pferden und Eseln</t>
  </si>
  <si>
    <t>01.44.0 - Haltung von Kamelen</t>
  </si>
  <si>
    <t>01.45.0 - Haltung von Schafen und Ziegen</t>
  </si>
  <si>
    <t>01.46.0 - Haltung von Schweinen</t>
  </si>
  <si>
    <t>01.47.1 - Haltung von Legehennen zur Konsumeiererzeugung</t>
  </si>
  <si>
    <t>01.47.2 - Betrieb von Brütereien</t>
  </si>
  <si>
    <t>01.47.9 - Sonstige Haltung von Nutzgeflügel</t>
  </si>
  <si>
    <t>01.49.0 - Sonstige Tierhaltung</t>
  </si>
  <si>
    <t>01.50.0 - Gemischte Landwirtschaft</t>
  </si>
  <si>
    <t>01.61.0 - Erbringung von landwirtschaftlichen Dienstleistungen für den Pflanzenbau</t>
  </si>
  <si>
    <t>01.62.0 - Erbringung von landwirtschaftlichen Dienstleistungen für die Tierhaltung</t>
  </si>
  <si>
    <t>01.63.0 - Nach der Ernte anfallende Tätigkeiten in der pflanzlichen Erzeugung</t>
  </si>
  <si>
    <t>01.64.0 - Saatgutaufbereitung</t>
  </si>
  <si>
    <t>01.70.0 - Jagd, Fallenstellerei und damit verbundene Tätigkeiten</t>
  </si>
  <si>
    <t>02.10.0 - Forstwirtschaft</t>
  </si>
  <si>
    <t>02.20.0 - Holzeinschlag</t>
  </si>
  <si>
    <t>02.30.0 - Sammeln von wild wachsenden Produkten (ohne Holz)</t>
  </si>
  <si>
    <t>02.40.0 - Erbringung von Dienstleistungen für Forstwirtschaft und Holzeinschlag</t>
  </si>
  <si>
    <t>03.11.0 - Meeresfischerei</t>
  </si>
  <si>
    <t>03.12.0 - Süßwasserfischerei</t>
  </si>
  <si>
    <t>03.21.0 - Meeresaquakultur</t>
  </si>
  <si>
    <t>03.22.0 - Süßwasseraquakultur</t>
  </si>
  <si>
    <t>05.10.0 - Steinkohlenbergbau</t>
  </si>
  <si>
    <t>05.20.0 - Braunkohlenbergbau</t>
  </si>
  <si>
    <t>06.10.0 - Gewinnung von Erdöl</t>
  </si>
  <si>
    <t>06.20.0 - Gewinnung von Erdgas</t>
  </si>
  <si>
    <t>07.10.0 - Eisenerzbergbau</t>
  </si>
  <si>
    <t>07.21.0 - Bergbau auf Uran- und Thoriumerze</t>
  </si>
  <si>
    <t>07.29.0 - Sonstiger NE-Metallerzbergbau</t>
  </si>
  <si>
    <t>08.11.0 - Gewinnung von Naturwerksteinen und Natursteinen, Kalk- und Gipsstein, Kreide und Schiefer</t>
  </si>
  <si>
    <t>08.12.0 - Gewinnung von Kies, Sand, Ton und Kaolin</t>
  </si>
  <si>
    <t>08.91.0 - Bergbau auf chemische und Düngemittelminerale</t>
  </si>
  <si>
    <t>08.92.0 - Torfgewinnung</t>
  </si>
  <si>
    <t>08.93.0 - Gewinnung von Salz</t>
  </si>
  <si>
    <t>08.99.0 - Gewinnung von Steinen und Erden a. n. g.</t>
  </si>
  <si>
    <t>09.10.0 - Erbringung von Dienstleistungen für die Gewinnung von Erdöl und Erdgas</t>
  </si>
  <si>
    <t>09.90.0 - Erbringung von Dienstleistungen für den sonstigen Bergbau und die Gewinnung von Steinen und Erden</t>
  </si>
  <si>
    <t>10.11.0 - Schlachten (ohne Schlachten von Geflügel)</t>
  </si>
  <si>
    <t>10.12.0 - Schlachten von Geflügel</t>
  </si>
  <si>
    <t>10.13.0 - Fleischverarbeitung</t>
  </si>
  <si>
    <t>10.20.0 - Fischverarbeitung</t>
  </si>
  <si>
    <t>10.31.0 - Kartoffelverarbeitung</t>
  </si>
  <si>
    <t>10.32.0 - Herstellung von Frucht- und Gemüsesäften</t>
  </si>
  <si>
    <t>10.39.0 - Sonstige Verarbeitung von Obst und Gemüse</t>
  </si>
  <si>
    <t>10.41.0 - Herstellung von Ölen und Fetten (ohne Margarine u. ä. Nahrungsfette)</t>
  </si>
  <si>
    <t>10.42.0 - Herstellung von Margarine u. ä. Nahrungsfetten</t>
  </si>
  <si>
    <t>10.51.0 - Milchverarbeitung (ohne Herstellung von Speiseeis)</t>
  </si>
  <si>
    <t>10.52.0 - Herstellung von Speiseeis</t>
  </si>
  <si>
    <t>10.61.0 - Mahl- und Schälmühlen</t>
  </si>
  <si>
    <t>10.62.0 - Herstellung von Stärke und Stärkeerzeugnissen</t>
  </si>
  <si>
    <t>10.71.0 - Herstellung von Backwaren (ohne Dauerbackwaren)</t>
  </si>
  <si>
    <t>10.72.0 - Herstellung von Dauerbackwaren</t>
  </si>
  <si>
    <t>10.73.0 - Herstellung von Teigwaren</t>
  </si>
  <si>
    <t>10.81.0 - Herstellung von Zucker</t>
  </si>
  <si>
    <t>10.82.0 - Herstellung von Süßwaren (ohne Dauerbackwaren)</t>
  </si>
  <si>
    <t>10.83.0 - Verarbeitung von Kaffee und Tee, Herstellung von Kaffee-Ersatz</t>
  </si>
  <si>
    <t>10.84.0 - Herstellung von Würzmitteln und Soßen</t>
  </si>
  <si>
    <t>10.85.0 - Herstellung von Fertiggerichten</t>
  </si>
  <si>
    <t>10.86.0 - Herstellung von homogenisierten und diätetischen Nahrungsmitteln</t>
  </si>
  <si>
    <t>10.89.0 - Herstellung von sonstigen Nahrungsmitteln a. n. g.</t>
  </si>
  <si>
    <t>10.91.0 - Herstellung von Futtermitteln für Nutztiere</t>
  </si>
  <si>
    <t>10.92.0 - Herstellung von Futtermitteln für sonstige Tiere</t>
  </si>
  <si>
    <t>11.01.0 - Herstellung von Spirituosen</t>
  </si>
  <si>
    <t>11.02.0 - Herstellung von Traubenwein</t>
  </si>
  <si>
    <t>11.03.0 - Herstellung von Apfelwein und anderen Fruchtweinen</t>
  </si>
  <si>
    <t>11.04.0 - Herstellung von Wermutwein und sonstigen aromatisierten Weinen</t>
  </si>
  <si>
    <t>11.05.0 - Herstellung von Bier</t>
  </si>
  <si>
    <t>11.06.0 - Herstellung von Malz</t>
  </si>
  <si>
    <t>11.07.0 - Herstellung von Erfrischungsgetränken; Gewinnung natürlicher Mineralwässer</t>
  </si>
  <si>
    <t>12.00.0 - Tabakverarbeitung</t>
  </si>
  <si>
    <t>13.10.0 - Spinnstoffaufbereitung und Spinnerei</t>
  </si>
  <si>
    <t>13.20.0 - Weberei</t>
  </si>
  <si>
    <t>13.30.0 - Veredlung von Textilien und Bekleidung</t>
  </si>
  <si>
    <t>13.91.0 - Herstellung von gewirktem und gestricktem Stoff</t>
  </si>
  <si>
    <t>13.92.0 - Herstellung von konfektionierten Textilwaren (ohne Bekleidung)</t>
  </si>
  <si>
    <t>13.93.0 - Herstellung von Teppichen</t>
  </si>
  <si>
    <t>13.94.0 - Herstellung von Seilerwaren</t>
  </si>
  <si>
    <t>13.95.0 - Herstellung von Vliesstoff und Erzeugnissen daraus (ohne Bekleidung)</t>
  </si>
  <si>
    <t>13.96.0 - Herstellung von technischen Textilien</t>
  </si>
  <si>
    <t>13.99.0 - Herstellung von sonstigen Textilwaren a. n. g.</t>
  </si>
  <si>
    <t>14.11.0 - Herstellung von Lederbekleidung</t>
  </si>
  <si>
    <t>14.12.0 - Herstellung von Arbeits- und Berufsbekleidung</t>
  </si>
  <si>
    <t>14.13.1 - Herstellung von gewebter Oberbekleidung für Herren und Knaben</t>
  </si>
  <si>
    <t>14.13.2 - Herstellung von gewebter Oberbekleidung für Damen und Mädchen</t>
  </si>
  <si>
    <t>14.13.3 - Herstellung von gewirkter und gestrickter Oberbekleidung</t>
  </si>
  <si>
    <t>14.14.1 - Herstellung von gewebter Wäsche (ohne Miederwaren)</t>
  </si>
  <si>
    <t>14.14.2 - Herstellung von gewirkter und gestrickter Wäsche (ohne Miederwaren)</t>
  </si>
  <si>
    <t>14.14.3 - Herstellung von Miederwaren</t>
  </si>
  <si>
    <t>14.19.0 - Herstellung von sonstiger Bekleidung und Bekleidungszubehör a. n. g.</t>
  </si>
  <si>
    <t>14.20.0 - Herstellung von Pelzwaren</t>
  </si>
  <si>
    <t>14.31.0 - Herstellung von Strumpfwaren</t>
  </si>
  <si>
    <t>14.39.0 - Herstellung von sonstiger Bekleidung aus gewirktem und gestricktem Stoff</t>
  </si>
  <si>
    <t>15.11.0 - Herstellung von Leder und Lederfaserstoff; Zurichtung und Färben von Fellen</t>
  </si>
  <si>
    <t>15.12.0 - Lederverarbeitung (ohne Herstellung von Lederbekleidung)</t>
  </si>
  <si>
    <t>15.20.0 - Herstellung von Schuhen</t>
  </si>
  <si>
    <t>16.10.0 - Säge-, Hobel- und Holzimprägnierwerke</t>
  </si>
  <si>
    <t>16.21.0 - Herstellung von Furnier-, Sperrholz-, Holzfaser- und Holzspanplatten</t>
  </si>
  <si>
    <t>16.22.0 - Herstellung von Parketttafeln</t>
  </si>
  <si>
    <t>16.23.0 - Herstellung von sonstigen Konstruktionsteilen, Fertigbauteilen, Ausbauelementen und Fertigteilbauten aus Holz</t>
  </si>
  <si>
    <t>16.24.0 - Herstellung von Verpackungsmitteln, Lagerbehältern und Ladungsträgern aus Holz</t>
  </si>
  <si>
    <t>16.29.0 - Herstellung von Holzwaren a. n. g., Kork-, Flecht- und Korbwaren (ohne Möbel)</t>
  </si>
  <si>
    <t>17.11.0 - Herstellung von Holz- und Zellstoff</t>
  </si>
  <si>
    <t>17.12.0 - Herstellung von Papier, Karton und Pappe</t>
  </si>
  <si>
    <t>17.21.0 - Herstellung von Wellpapier und -pappe sowie von Verpackungsmitteln aus Papier, Karton und Pappe</t>
  </si>
  <si>
    <t>17.22.0 - Herstellung von Haushalts-, Hygiene- und Toilettenartikeln aus Zellstoff, Papier und Pappe</t>
  </si>
  <si>
    <t>17.23.0 - Herstellung von Schreibwaren und Bürobedarf aus Papier, Karton und Pappe</t>
  </si>
  <si>
    <t>17.24.0 - Herstellung von Tapeten</t>
  </si>
  <si>
    <t>17.29.0 - Herstellung von sonstigen Waren aus Papier, Karton und Pappe</t>
  </si>
  <si>
    <t>18.11.0 - Drucken von Zeitungen</t>
  </si>
  <si>
    <t>18.12.0 - Drucken a. n. g.</t>
  </si>
  <si>
    <t>18.13.0 - Druck- und Medienvorstufe</t>
  </si>
  <si>
    <t>18.14.0 - Binden von Druckerzeugnissen und damit verbundene Dienstleistungen</t>
  </si>
  <si>
    <t>18.20.0 - Vervielfältigung von bespielten Ton-, Bild- und Datenträgern</t>
  </si>
  <si>
    <t>19.10.0 - Kokerei</t>
  </si>
  <si>
    <t>19.20.0 - Mineralölverarbeitung</t>
  </si>
  <si>
    <t>20.11.0 - Herstellung von Industriegasen</t>
  </si>
  <si>
    <t>20.12.0 - Herstellung von Farbstoffen und Pigmenten</t>
  </si>
  <si>
    <t>20.13.0 - Herstellung von sonstigen anorganischen Grundstoffen und Chemikalien</t>
  </si>
  <si>
    <t>20.14.0 - Herstellung von sonstigen organischen Grundstoffen und Chemikalien</t>
  </si>
  <si>
    <t>20.15.0 - Herstellung von Düngemitteln und Stickstoffverbindungen</t>
  </si>
  <si>
    <t>20.16.0 - Herstellung von Kunststoffen in Primärformen</t>
  </si>
  <si>
    <t>20.17.0 - Herstellung von synthetischem Kautschuk in Primärformen</t>
  </si>
  <si>
    <t>20.20.0 - Herstellung von Schädlingsbekämpfungs-, Pflanzenschutz- und Desinfektionsmitteln</t>
  </si>
  <si>
    <t>20.30.0 - Herstellung von Anstrichmitteln, Druckfarben und Kitten</t>
  </si>
  <si>
    <t>20.41.0 - Herstellung von Seifen, Wasch-, Reinigungs- und Poliermitteln</t>
  </si>
  <si>
    <t>20.42.0 - Herstellung von Körperpflegemitteln und Duftstoffen</t>
  </si>
  <si>
    <t>20.51.0 - Herstellung von pyrotechnischen Erzeugnissen</t>
  </si>
  <si>
    <t>20.52.0 - Herstellung von Klebstoffen</t>
  </si>
  <si>
    <t>20.53.0 - Herstellung von etherischen Ölen</t>
  </si>
  <si>
    <t>20.59.0 - Herstellung von sonstigen chemischen Erzeugnissen a. n. g.</t>
  </si>
  <si>
    <t>20.60.0 - Herstellung von Chemiefasern</t>
  </si>
  <si>
    <t>21.10.0 - Herstellung von pharmazeutischen Grundstoffen</t>
  </si>
  <si>
    <t>21.20.0 - Herstellung von pharmazeutischen Spezialitäten und sonstigen pharmazeutischen Erzeugnissen</t>
  </si>
  <si>
    <t>22.11.0 - Herstellung und Runderneuerung von Bereifungen</t>
  </si>
  <si>
    <t>22.19.0 - Herstellung von sonstigen Gummiwaren</t>
  </si>
  <si>
    <t>22.21.0 - Herstellung von Platten, Folien, Schläuchen und Profilen aus Kunststoffen</t>
  </si>
  <si>
    <t>22.22.0 - Herstellung von Verpackungsmitteln aus Kunststoffen</t>
  </si>
  <si>
    <t>22.23.0 - Herstellung von Baubedarfsartikeln aus Kunststoffen</t>
  </si>
  <si>
    <t>22.29.0 - Herstellung von sonstigen Kunststoffwaren</t>
  </si>
  <si>
    <t>23.11.0 - Herstellung von Flachglas</t>
  </si>
  <si>
    <t>23.12.0 - Veredlung und Bearbeitung von Flachglas</t>
  </si>
  <si>
    <t>23.13.0 - Herstellung von Hohlglas</t>
  </si>
  <si>
    <t>23.14.0 - Herstellung von Glasfasern und Waren daraus</t>
  </si>
  <si>
    <t>23.19.0 - Herstellung, Veredlung und Bearbeitung von sonstigem Glas einschließlich technischen Glaswaren</t>
  </si>
  <si>
    <t>23.20.0 - Herstellung von feuerfesten keramischen Werkstoffen und Waren</t>
  </si>
  <si>
    <t>23.31.0 - Herstellung von keramischen Wand- und Bodenfliesen und -platten</t>
  </si>
  <si>
    <t>23.32.0 - Herstellung von Ziegeln und sonstiger Baukeramik</t>
  </si>
  <si>
    <t>23.41.0 - Herstellung von keramischen Haushaltswaren und Ziergegenständen</t>
  </si>
  <si>
    <t>23.42.0 - Herstellung von Sanitärkeramik</t>
  </si>
  <si>
    <t>23.43.0 - Herstellung von Isolatoren und Isolierteilen aus Keramik</t>
  </si>
  <si>
    <t>23.44.0 - Herstellung von keramischen Erzeugnissen für sonstige technische Zwecke</t>
  </si>
  <si>
    <t>23.49.0 - Herstellung von sonstigen keramischen Erzeugnissen</t>
  </si>
  <si>
    <t>23.51.0 - Herstellung von Zement</t>
  </si>
  <si>
    <t>23.52.0 - Herstellung von Kalk und gebranntem Gips</t>
  </si>
  <si>
    <t>23.61.0 - Herstellung von Erzeugnissen aus Beton, Zement und Kalksandstein für den Bau</t>
  </si>
  <si>
    <t>23.62.0 - Herstellung von Gipserzeugnissen für den Bau</t>
  </si>
  <si>
    <t>23.63.0 - Herstellung von Frischbeton (Transportbeton)</t>
  </si>
  <si>
    <t>23.64.0 - Herstellung von Mörtel und anderem Beton (Trockenbeton)</t>
  </si>
  <si>
    <t>23.65.0 - Herstellung von Faserzementwaren</t>
  </si>
  <si>
    <t>23.69.0 - Herstellung von sonstigen Erzeugnissen aus Beton, Zement und Gips a. n. g.</t>
  </si>
  <si>
    <t>23.70.0 - Be- und Verarbeitung von Naturwerksteinen und Natursteinen a. n. g.</t>
  </si>
  <si>
    <t>23.91.0 - Herstellung von Schleifkörpern und Schleifmitteln auf Unterlage</t>
  </si>
  <si>
    <t>23.99.0 - Herstellung von sonstigen Erzeugnissen aus nichtmetallischen Mineralien a. n. g.</t>
  </si>
  <si>
    <t>24.10.0 - Erzeugung von Roheisen, Stahl und Ferrolegierungen</t>
  </si>
  <si>
    <t>24.20.1 - Herstellung von Stahlrohren (ohne Präzisionsstahlrohre)</t>
  </si>
  <si>
    <t>24.20.2 - Herstellung von Präzisionsstahlrohren</t>
  </si>
  <si>
    <t>24.20.3 - Herstellung von Rohrform-, Rohrverschluss- und Rohrverbindungsstücken aus Stahl</t>
  </si>
  <si>
    <t>24.31.0 - Herstellung von Blankstahl</t>
  </si>
  <si>
    <t>24.32.0 - Herstellung von Kaltband mit einer Breite von weniger als 600 mm</t>
  </si>
  <si>
    <t>24.33.0 - Herstellung von Kaltprofilen</t>
  </si>
  <si>
    <t>24.34.0 - Herstellung von kaltgezogenem Draht</t>
  </si>
  <si>
    <t>24.41.0 - Erzeugung und erste Bearbeitung von Edelmetallen</t>
  </si>
  <si>
    <t>24.42.0 - Erzeugung und erste Bearbeitung von Aluminium</t>
  </si>
  <si>
    <t>24.43.0 - Erzeugung und erste Bearbeitung von Blei, Zink und Zinn</t>
  </si>
  <si>
    <t>24.44.0 - Erzeugung und erste Bearbeitung von Kupfer</t>
  </si>
  <si>
    <t>24.45.0 - Erzeugung und erste Bearbeitung von sonstigen NE-Metallen</t>
  </si>
  <si>
    <t>24.46.0 - Aufbereitung von Kernbrennstoffen</t>
  </si>
  <si>
    <t>24.51.0 - Eisengießereien</t>
  </si>
  <si>
    <t>24.52.0 - Stahlgießereien</t>
  </si>
  <si>
    <t>24.53.0 - Leichtmetallgießereien</t>
  </si>
  <si>
    <t>24.54.0 - Buntmetallgießereien</t>
  </si>
  <si>
    <t>25.11.0 - Herstellung von Metallkonstruktionen</t>
  </si>
  <si>
    <t>25.12.0 - Herstellung von Ausbauelementen aus Metall</t>
  </si>
  <si>
    <t>25.21.0 - Herstellung von Heizkörpern und -kesseln für Zentralheizungen</t>
  </si>
  <si>
    <t>25.29.0 - Herstellung von Sammelbehältern, Tanks u. ä. Behältern aus Metall</t>
  </si>
  <si>
    <t>25.30.0 - Herstellung von Dampfkesseln (ohne Zentralheizungskessel)</t>
  </si>
  <si>
    <t>25.40.0 - Herstellung von Waffen und Munition</t>
  </si>
  <si>
    <t>25.50.1 - Herstellung von Freiformschmiedestücken</t>
  </si>
  <si>
    <t>25.50.2 - Herstellung von Gesenkschmiedeteilen</t>
  </si>
  <si>
    <t>25.50.3 - Herstellung von Kaltfließpressteilen</t>
  </si>
  <si>
    <t>25.50.4 - Herstellung von Press-, Zieh- und Stanzteilen</t>
  </si>
  <si>
    <t>25.50.5 - Herstellung von pulvermetallurgischen Erzeugnissen</t>
  </si>
  <si>
    <t>25.61.0 - Oberflächenveredlung und Wärmebehandlung</t>
  </si>
  <si>
    <t>25.62.0 - Mechanik a. n. g.</t>
  </si>
  <si>
    <t>25.71.0 - Herstellung von Schneidwaren und Bestecken aus unedlen Metallen</t>
  </si>
  <si>
    <t>25.72.0 - Herstellung von Schlössern und Beschlägen aus unedlen Metallen</t>
  </si>
  <si>
    <t>25.73.1 - Herstellung von Handwerkzeugen</t>
  </si>
  <si>
    <t>25.73.2 - Herstellung von Sägen und von Maschinenwerkzeugen für die Holzbearbeitung</t>
  </si>
  <si>
    <t>25.73.3 - Herstellung von auswechselbaren Werkzeugen für die Metallbearbeitung a. n. g.</t>
  </si>
  <si>
    <t>25.73.4 - Herstellung von Geräten für die Landwirtschaft</t>
  </si>
  <si>
    <t>25.73.5 - Herstellung von sonstigen Werkzeugen</t>
  </si>
  <si>
    <t>25.91.0 - Herstellung von Fässern, Trommeln, Dosen, Eimern u. ä. Behältern aus Metall</t>
  </si>
  <si>
    <t>25.92.0 - Herstellung von Verpackungen und Verschlüssen aus Eisen, Stahl und NE-Metall</t>
  </si>
  <si>
    <t>25.93.0 - Herstellung von Drahtwaren, Ketten und Federn</t>
  </si>
  <si>
    <t>25.94.0 - Herstellung von Schrauben und Nieten</t>
  </si>
  <si>
    <t>25.99.1 - Herstellung von nicht elektrischen Haushaltsartikeln aus Metall</t>
  </si>
  <si>
    <t>25.99.2 - Herstellung von Panzerschränken und Tresoranlagen</t>
  </si>
  <si>
    <t>25.99.3 - Herstellung von Metallwaren a. n. g.</t>
  </si>
  <si>
    <t>26.11.1 - Herstellung von Solarzellen und Solarmodulen</t>
  </si>
  <si>
    <t>26.11.9 - Herstellung von sonstigen elektronischen Bauelementen</t>
  </si>
  <si>
    <t>26.12.0 - Herstellung von bestückten Leiterplatten</t>
  </si>
  <si>
    <t>26.20.0 - Herstellung von Datenverarbeitungsgeräten und peripheren Geräten</t>
  </si>
  <si>
    <t>26.30.0 - Herstellung von Geräten und Einrichtungen der Telekommunikationstechnik</t>
  </si>
  <si>
    <t>26.40.0 - Herstellung von Geräten der Unterhaltungselektronik</t>
  </si>
  <si>
    <t>26.51.1 - Herstellung von elektrischen Mess-, Kontroll-, Navigations- u. ä. Instrumenten und Vorrichtungen</t>
  </si>
  <si>
    <t>26.51.2 - Herstellung von nicht elektrischen Mess-, Kontroll-, Navigations- u. ä. Instrumenten und Vorrichtungen</t>
  </si>
  <si>
    <t>26.51.3 - Herstellung von Prüfmaschinen</t>
  </si>
  <si>
    <t>26.52.0 - Herstellung von Uhren</t>
  </si>
  <si>
    <t>26.60.0 - Herstellung von Bestrahlungs- und Elektrotherapiegeräten und elektromedizinischen Geräten</t>
  </si>
  <si>
    <t>26.70.0 - Herstellung von optischen und fotografischen Instrumenten und Geräten</t>
  </si>
  <si>
    <t>26.80.0 - Herstellung von magnetischen und optischen Datenträgern</t>
  </si>
  <si>
    <t>27.11.0 - Herstellung von Elektromotoren, Generatoren und Transformatoren</t>
  </si>
  <si>
    <t>27.12.0 - Herstellung von Elektrizitätsverteilungs- und -schalteinrichtungen</t>
  </si>
  <si>
    <t>27.20.0 - Herstellung von Batterien und Akkumulatoren</t>
  </si>
  <si>
    <t>27.31.0 - Herstellung von Glasfaserkabeln</t>
  </si>
  <si>
    <t>27.32.0 - Herstellung von sonstigen elektronischen und elektrischen Drähten und Kabeln</t>
  </si>
  <si>
    <t>27.33.0 - Herstellung von elektrischem Installationsmaterial</t>
  </si>
  <si>
    <t>27.40.0 - Herstellung von elektrischen Lampen und Leuchten</t>
  </si>
  <si>
    <t>27.51.0 - Herstellung von elektrischen Haushaltsgeräten</t>
  </si>
  <si>
    <t>27.52.0 - Herstellung von nichtelektrischen Haushaltsgeräten</t>
  </si>
  <si>
    <t>27.90.0 - Herstellung von sonstigen elektrischen Ausrüstungen und Geräten a. n. g.</t>
  </si>
  <si>
    <t>28.11.0 - Herstellung von Verbrennungsmotoren und Turbinen (ohne Motoren für Luft- und Straßenfahrzeuge)</t>
  </si>
  <si>
    <t>28.12.0 - Herstellung von hydraulischen und pneumatischen Komponenten und Systemen</t>
  </si>
  <si>
    <t>28.13.0 - Herstellung von Pumpen und Kompressoren a. n. g.</t>
  </si>
  <si>
    <t>28.14.0 - Herstellung von Armaturen a. n. g.</t>
  </si>
  <si>
    <t>28.15.0 - Herstellung von Lagern, Getrieben, Zahnrädern und Antriebselementen</t>
  </si>
  <si>
    <t>28.21.1 - Herstellung von Solarwärmekollektoren</t>
  </si>
  <si>
    <t>28.21.9 - Herstellung von sonstigen Öfen und Brennern</t>
  </si>
  <si>
    <t>28.22.0 - Herstellung von Hebezeugen und Fördermitteln</t>
  </si>
  <si>
    <t>28.23.0 - Herstellung von Büromaschinen (ohne Datenverarbeitungsgeräte und periphere Geräte)</t>
  </si>
  <si>
    <t>28.24.0 - Herstellung von handgeführten Werkzeugen mit Motorantrieb</t>
  </si>
  <si>
    <t>28.25.0 - Herstellung von kälte- und lufttechnischen Erzeugnissen, nicht für den Haushalt</t>
  </si>
  <si>
    <t>28.29.0 - Herstellung von sonstigen nicht wirtschaftszweigspezifischen Maschinen a. n. g.</t>
  </si>
  <si>
    <t>28.30.0 - Herstellung von land- und forstwirtschaftlichen Maschinen</t>
  </si>
  <si>
    <t>28.41.0 - Herstellung von Werkzeugmaschinen für die Metallbearbeitung</t>
  </si>
  <si>
    <t>28.49.1 - Herstellung von Werkzeugmaschinen zur Bearbeitung von Steinen, Beton und sonstigen mineralischen Stoffen</t>
  </si>
  <si>
    <t>28.49.2 - Herstellung von Werkzeugmaschinen zur Bearbeitung von sonstigen harten Stoffen</t>
  </si>
  <si>
    <t>28.49.3 - Herstellung von Maschinenspannzeugen und sonstigem Zubehör für Werkzeugmaschinen</t>
  </si>
  <si>
    <t>28.49.9 - Herstellung von sonstigen Werkzeugmaschinen a. n. g.</t>
  </si>
  <si>
    <t>28.91.0 - Herstellung von Maschinen für die Metallerzeugung, von Walzwerkseinrichtungen und Gießmaschinen</t>
  </si>
  <si>
    <t>28.92.1 - Herstellung von Bergwerksmaschinen</t>
  </si>
  <si>
    <t>28.92.2 - Herstellung von Bau- und Baustoffmaschinen</t>
  </si>
  <si>
    <t>28.93.0 - Herstellung von Maschinen für die Nahrungs- und Genussmittelerzeugung und die Tabakverarbeitung</t>
  </si>
  <si>
    <t>28.94.0 - Herstellung von Maschinen für die Textil- und Bekleidungsherstellung und die Lederverarbeitung</t>
  </si>
  <si>
    <t>28.95.0 - Herstellung von Maschinen für die Papiererzeugung und -verarbeitung</t>
  </si>
  <si>
    <t>28.96.0 - Herstellung von Maschinen für die Verarbeitung von Kunststoffen und Kautschuk</t>
  </si>
  <si>
    <t>28.99.0 - Herstellung von Maschinen für sonstige bestimmte Wirtschaftszweige a. n. g.</t>
  </si>
  <si>
    <t>29.10.1 - Herstellung von Personenkraftwagen und Personenkraftwagenmotoren</t>
  </si>
  <si>
    <t>29.10.2 - Herstellung von Nutzkraftwagen und Nutzkraftwagenmotoren</t>
  </si>
  <si>
    <t>29.20.0 - Herstellung von Karosserien, Aufbauten und Anhängern</t>
  </si>
  <si>
    <t>29.31.0 - Herstellung elektrischer und elektronischer Ausrüstungsgegenstände für Kraftwagen</t>
  </si>
  <si>
    <t>29.32.0 - Herstellung von sonstigen Teilen und sonstigem Zubehör für Kraftwagen</t>
  </si>
  <si>
    <t>30.11.0 - Schiffbau (ohne Boots- und Yachtbau)</t>
  </si>
  <si>
    <t>30.12.0 - Boots- und Yachtbau</t>
  </si>
  <si>
    <t>30.20.1 - Herstellung von Lokomotiven und anderen Schienenfahrzeugen</t>
  </si>
  <si>
    <t>30.20.2 - Herstellung von Eisenbahninfrastruktur</t>
  </si>
  <si>
    <t>30.30.0 - Luft- und Raumfahrzeugbau</t>
  </si>
  <si>
    <t>30.40.0 - Herstellung von militärischen Kampffahrzeugen</t>
  </si>
  <si>
    <t>30.91.0 - Herstellung von Krafträdern</t>
  </si>
  <si>
    <t>30.92.0 - Herstellung von Fahrrädern sowie von Behindertenfahrzeugen</t>
  </si>
  <si>
    <t>30.99.0 - Herstellung von sonstigen Fahrzeugen a. n. g.</t>
  </si>
  <si>
    <t>31.01.1 - Herstellung von Büromöbeln</t>
  </si>
  <si>
    <t>31.01.2 - Herstellung von Ladenmöbeln und sonstigen Objektmöbeln</t>
  </si>
  <si>
    <t>31.02.0 - Herstellung von Küchenmöbeln</t>
  </si>
  <si>
    <t>31.03.0 - Herstellung von Matratzen</t>
  </si>
  <si>
    <t>31.09.1 - Herstellung von Polstermöbeln</t>
  </si>
  <si>
    <t>31.09.9 - Herstellung von sonstigen Möbeln a. n. g.</t>
  </si>
  <si>
    <t>32.11.0 - Herstellung von Münzen</t>
  </si>
  <si>
    <t>32.12.0 - Herstellung von Schmuck, Gold- und Silberschmiedewaren (ohne Fantasieschmuck)</t>
  </si>
  <si>
    <t>32.13.0 - Herstellung von Fantasieschmuck</t>
  </si>
  <si>
    <t>32.20.0 - Herstellung von Musikinstrumenten</t>
  </si>
  <si>
    <t>32.30.0 - Herstellung von Sportgeräten</t>
  </si>
  <si>
    <t>32.40.0 - Herstellung von Spielwaren</t>
  </si>
  <si>
    <t>32.50.1 - Herstellung von medizintechnischen Apparaten und Materialien a. n. g.</t>
  </si>
  <si>
    <t>32.50.2 - Herstellung von orthopädischen Erzeugnissen</t>
  </si>
  <si>
    <t>32.50.3 - Zahntechnische Laboratorien</t>
  </si>
  <si>
    <t>32.91.0 - Herstellung von Besen und Bürsten</t>
  </si>
  <si>
    <t>32.99.0 - Herstellung von sonstigen Erzeugnissen a. n. g.</t>
  </si>
  <si>
    <t>33.11.0 - Reparatur von Metallerzeugnissen</t>
  </si>
  <si>
    <t>33.12.0 - Reparatur von Maschinen</t>
  </si>
  <si>
    <t>33.13.0 - Reparatur von elektronischen und optischen Geräten</t>
  </si>
  <si>
    <t>33.14.0 - Reparatur von elektrischen Ausrüstungen</t>
  </si>
  <si>
    <t>33.15.0 - Reparatur und Instandhaltung von Schiffen, Booten und Yachten</t>
  </si>
  <si>
    <t>33.16.0 - Reparatur und Instandhaltung von Luft- und Raumfahrzeugen</t>
  </si>
  <si>
    <t>33.17.0 - Reparatur und Instandhaltung von Fahrzeugen a. n. g.</t>
  </si>
  <si>
    <t>33.19.0 - Reparatur von sonstigen Ausrüstungen</t>
  </si>
  <si>
    <t>33.20.0 - Installation von Maschinen und Ausrüstungen a. n. g.</t>
  </si>
  <si>
    <t>35.11.1 - Elektrizitätserzeugung ohne Verteilung</t>
  </si>
  <si>
    <t>35.11.2 - Elektrizitätserzeugung mit Fremdbezug zur Verteilung</t>
  </si>
  <si>
    <t>35.11.3 - Elektrizitätserzeugung ohne Fremdbezug zur Verteilung</t>
  </si>
  <si>
    <t>35.12.0 - Elektrizitätsübertragung</t>
  </si>
  <si>
    <t>35.13.0 - Elektrizitätsverteilung</t>
  </si>
  <si>
    <t>35.14.0 - Elektrizitätshandel</t>
  </si>
  <si>
    <t>35.21.1 - Gaserzeugung ohne Verteilung</t>
  </si>
  <si>
    <t>35.21.2 - Gaserzeugung mit Fremdbezug zur Verteilung</t>
  </si>
  <si>
    <t>35.21.3 - Gaserzeugung ohne Fremdbezug zur Verteilung</t>
  </si>
  <si>
    <t>35.22.0 - Gasverteilung durch Rohrleitungen</t>
  </si>
  <si>
    <t>35.23.0 - Gashandel durch Rohrleitungen</t>
  </si>
  <si>
    <t>35.30.0 - Wärme- und Kälteversorgung</t>
  </si>
  <si>
    <t>36.00.1 - Wassergewinnung mit Fremdbezug zur Verteilung</t>
  </si>
  <si>
    <t>36.00.2 - Wassergewinnung ohne Fremdbezug zur Verteilung</t>
  </si>
  <si>
    <t>36.00.3 - Wasserverteilung ohne Gewinnung</t>
  </si>
  <si>
    <t>37.00.1 - Betrieb der Sammelkanalisation</t>
  </si>
  <si>
    <t>37.00.2 - Betrieb von Kläranlagen</t>
  </si>
  <si>
    <t>38.11.0 - Sammlung nicht gefährlicher Abfälle</t>
  </si>
  <si>
    <t>38.12.0 - Sammlung gefährlicher Abfälle</t>
  </si>
  <si>
    <t>38.21.0 - Behandlung und Beseitigung nicht gefährlicher Abfälle</t>
  </si>
  <si>
    <t>38.22.0 - Behandlung und Beseitigung gefährlicher Abfälle</t>
  </si>
  <si>
    <t>38.31.0 - Zerlegen von Schiffs- und Fahrzeugwracks und anderen Altwaren</t>
  </si>
  <si>
    <t>38.32.0 - Rückgewinnung sortierter Werkstoffe</t>
  </si>
  <si>
    <t>39.00.0 - Beseitigung von Umweltverschmutzungen und sonstige Entsorgung</t>
  </si>
  <si>
    <t>41.10.1 - Erschließung von unbebauten Grundstücken</t>
  </si>
  <si>
    <t>41.10.2 - Bauträger für Nichtwohngebäude</t>
  </si>
  <si>
    <t>41.10.3 - Bauträger für Wohngebäude</t>
  </si>
  <si>
    <t>41.20.1 - Bau von Gebäuden (ohne Fertigteilbau)</t>
  </si>
  <si>
    <t>41.20.2 - Errichtung von Fertigteilbauten</t>
  </si>
  <si>
    <t>42.11.0 - Bau von Straßen</t>
  </si>
  <si>
    <t>42.12.0 - Bau von Bahnverkehrsstrecken</t>
  </si>
  <si>
    <t>42.13.0 - Brücken- und Tunnelbau</t>
  </si>
  <si>
    <t>42.21.0 - Rohrleitungstiefbau, Brunnenbau und Kläranlagenbau</t>
  </si>
  <si>
    <t>42.22.0 - Kabelnetzleitungstiefbau</t>
  </si>
  <si>
    <t>42.91.0 - Wasserbau</t>
  </si>
  <si>
    <t>42.99.0 - Sonstiger Tiefbau a. n. g.</t>
  </si>
  <si>
    <t>43.11.0 - Abbrucharbeiten</t>
  </si>
  <si>
    <t>43.12.0 - Vorbereitende Baustellenarbeiten</t>
  </si>
  <si>
    <t>43.13.0 - Test- und Suchbohrung</t>
  </si>
  <si>
    <t>43.21.0 - Elektroinstallation</t>
  </si>
  <si>
    <t>43.22.0 - Gas-, Wasser-, Heizungs- sowie Lüftungs- und Klimainstallation</t>
  </si>
  <si>
    <t>43.29.1 - Dämmung gegen Kälte, Wärme, Schall und Erschütterung</t>
  </si>
  <si>
    <t>43.29.9 - Sonstige Bauinstallation a. n. g.</t>
  </si>
  <si>
    <t>43.31.0 - Anbringen von Stuckaturen, Gipserei und Verputzerei</t>
  </si>
  <si>
    <t>43.32.0 - Bautischlerei und -schlosserei</t>
  </si>
  <si>
    <t>43.33.0 - Fußboden-, Fliesen- und Plattenlegerei, Tapeziererei</t>
  </si>
  <si>
    <t>43.34.1 - Maler- und Lackierergewerbe</t>
  </si>
  <si>
    <t>43.34.2 - Glasergewerbe</t>
  </si>
  <si>
    <t>43.39.0 - Sonstiger Ausbau a. n. g.</t>
  </si>
  <si>
    <t>43.91.1 - Dachdeckerei und Bauspenglerei</t>
  </si>
  <si>
    <t>43.91.2 - Zimmerei und Ingenieurholzbau</t>
  </si>
  <si>
    <t>43.99.1 - Gerüstbau</t>
  </si>
  <si>
    <t>43.99.2 - Schornstein-, Feuerungs- und Industrieofenbau</t>
  </si>
  <si>
    <t>43.99.9 - Baugewerbe a. n. g.</t>
  </si>
  <si>
    <t>45.11.0 - Handel mit Kraftwagen mit einem Gesamtgewicht von 3,5 t oder weniger</t>
  </si>
  <si>
    <t>45.19.0 - Handel mit Kraftwagen mit einem Gesamtgewicht von mehr als 3,5 t</t>
  </si>
  <si>
    <t>45.20.1 - Lackieren von Kraftwagen</t>
  </si>
  <si>
    <t>45.20.2 - Autowaschanlagen</t>
  </si>
  <si>
    <t>45.20.3 - Instandhaltung und Reparatur von Kraftwagen mit einem Gesamtgewicht von 3,5 t oder weniger (ohne Lackierung und Autowäsche)</t>
  </si>
  <si>
    <t>45.20.4 - Instandhaltung und Reparatur von Kraftwagen mit einem Gesamtgewicht von mehr als 3,5 t (ohne Lackierung und Autowäsche)</t>
  </si>
  <si>
    <t>45.31.0 - Großhandel mit Kraftwagenteilen und -zubehör</t>
  </si>
  <si>
    <t>45.32.0 - Einzelhandel mit Kraftwagenteilen und -zubehör</t>
  </si>
  <si>
    <t>45.40.0 - Handel mit Krafträdern, Kraftradteilen und -zubehör; Instandhaltung und Reparatur von Krafträdern</t>
  </si>
  <si>
    <t>46.11.0 - Handelsvermittlung von landwirtschaftlichen Grundstoffen, lebenden Tieren, textilen Rohstoffen und Halbwaren</t>
  </si>
  <si>
    <t>46.12.0 - Handelsvermittlung von Brennstoffen, Erzen, Metallen und technischen Chemikalien</t>
  </si>
  <si>
    <t>46.13.1 - Handelsvermittlung von Rohholz, Holzhalbwaren und Bauelementen aus Holz</t>
  </si>
  <si>
    <t>46.13.2 - Handelsvermittlung von Baustoffen und Anstrichmitteln</t>
  </si>
  <si>
    <t>46.14.1 - Handelsvermittlung von Maschinen (ohne landwirtschaftliche Maschinen und Büromaschinen) und technischem Bedarf a. n. g.</t>
  </si>
  <si>
    <t>46.14.2 - Handelsvermittlung von Wasser- und Luftfahrzeugen</t>
  </si>
  <si>
    <t>46.14.3 - Handelsvermittlung von Geräten der Unterhaltungselektronik</t>
  </si>
  <si>
    <t>46.14.4 - Handelsvermittlung von Werkzeugen</t>
  </si>
  <si>
    <t>46.14.5 - Handelsvermittlung von Büromaschinen, Datenverarbeitungsgeräten, peripheren Geräten und Software</t>
  </si>
  <si>
    <t>46.14.6 - Handelsvermittlung von landwirtschaftlichen Maschinen und Geräten</t>
  </si>
  <si>
    <t>46.14.7 - Handelsvermittlung von Installationsbedarf für Gas, Wasser, Heizung und Klimatechnik</t>
  </si>
  <si>
    <t>46.14.9 - Handelsvermittlung von elektrotechnischen und elektronischen Erzeugnissen a. n. g.</t>
  </si>
  <si>
    <t>46.15.1 - Handelsvermittlung von Möbeln, Einrichtungsgegenständen und Antiquitäten</t>
  </si>
  <si>
    <t>46.15.2 - Handelsvermittlung von keramischen Erzeugnissen, Glaswaren, Holzwaren a. n. g., sowie Flecht- und Korbwaren</t>
  </si>
  <si>
    <t>46.15.3 - Handelsvermittlung von elektrischen Haushaltsgeräten</t>
  </si>
  <si>
    <t>46.15.4 - Handelsvermittlung von Eisen-, Metall- und Kunststoffwaren a. n. g.</t>
  </si>
  <si>
    <t>46.15.5 - Handelsvermittlung von Putz- und Reinigungsmitteln</t>
  </si>
  <si>
    <t>46.16.1 - Handelsvermittlung von Meterware für Bekleidung und Wäsche</t>
  </si>
  <si>
    <t>46.16.2 - Handelsvermittlung von Heim- und Haustextilien und Bodenbelägen</t>
  </si>
  <si>
    <t>46.16.3 - Handelsvermittlung von Bekleidung</t>
  </si>
  <si>
    <t>46.16.4 - Handelsvermittlung von Bekleidungszubehör</t>
  </si>
  <si>
    <t>46.16.5 - Handelsvermittlung von Schuhen, Lederwaren und Reisegepäck</t>
  </si>
  <si>
    <t>46.17.1 - Handelsvermittlung von Zucker und Süßwaren</t>
  </si>
  <si>
    <t>46.17.2 - Handelsvermittlung von Wein, Sekt und Spirituosen</t>
  </si>
  <si>
    <t>46.17.9 - Handelsvermittlung von sonstigen Nahrungsmitteln, Getränken und Tabakwaren</t>
  </si>
  <si>
    <t>46.18.1 - Handelsvermittlung von feinmechanischen, Foto- und optischen Erzeugnissen</t>
  </si>
  <si>
    <t>46.18.2 - Handelsvermittlung von Uhren, Edelmetallwaren und Schmuck</t>
  </si>
  <si>
    <t>46.18.3 - Handelsvermittlung von Spielwaren und Musikinstrumenten</t>
  </si>
  <si>
    <t>46.18.4 - Handelsvermittlung von pharmazeutischen Erzeugnissen, medizinischen und orthopädischen Artikeln und Laborbedarf, Ärztebedarf, Dentalbedarf, zahnärztlichen Instrumenten, Krankenhaus- und Altenpflegebedarf</t>
  </si>
  <si>
    <t>46.18.5 - Handelsvermittlung von kosmetischen Erzeugnissen und Körperpflegemitteln</t>
  </si>
  <si>
    <t>46.18.6 - Handelsvermittlung von Karton, Papier und Pappe, Schreibwaren, Bürobedarf, Geschenk- und Werbeartikeln, Verpackungsmitteln und Tapeten</t>
  </si>
  <si>
    <t>46.18.7 - Handelsvermittlung von Büchern, Zeitschriften, Zeitungen, Musikalien und sonstigen Druckerzeugnissen</t>
  </si>
  <si>
    <t>46.18.9 - Handelsvermittlung von sonstigen Waren a. n. g.</t>
  </si>
  <si>
    <t>46.19.0 - Handelsvermittlung von Waren ohne ausgeprägten Schwerpunkt</t>
  </si>
  <si>
    <t>46.21.0 - Großhandel mit Getreide, Rohtabak, Saatgut und Futtermitteln</t>
  </si>
  <si>
    <t>46.22.0 - Großhandel mit Blumen und Pflanzen</t>
  </si>
  <si>
    <t>46.23.0 - Großhandel mit lebenden Tieren</t>
  </si>
  <si>
    <t>46.24.0 - Großhandel mit Häuten, Fellen und Leder</t>
  </si>
  <si>
    <t>46.31.0 - Großhandel mit Obst, Gemüse und Kartoffeln</t>
  </si>
  <si>
    <t>46.32.0 - Großhandel mit Fleisch und Fleischwaren</t>
  </si>
  <si>
    <t>46.33.0 - Großhandel mit Milch, Milcherzeugnissen, Eiern, Speiseölen und Nahrungsfetten</t>
  </si>
  <si>
    <t>46.34.0 - Großhandel mit Getränken</t>
  </si>
  <si>
    <t>46.35.0 - Großhandel mit Tabakwaren</t>
  </si>
  <si>
    <t>46.36.0 - Großhandel mit Zucker, Süßwaren und Backwaren</t>
  </si>
  <si>
    <t>46.37.0 - Großhandel mit Kaffee, Tee, Kakao und Gewürzen</t>
  </si>
  <si>
    <t>46.38.1 - Großhandel mit Fisch und Fischerzeugnissen</t>
  </si>
  <si>
    <t>46.38.2 - Großhandel mit Mehl und Getreideprodukten</t>
  </si>
  <si>
    <t>46.38.9 - Großhandel mit Nahrungs- und Genussmitteln a. n. g.</t>
  </si>
  <si>
    <t>46.39.1 - Großhandel mit tiefgefrorenen Nahrungsmitteln, ohne ausgeprägten Schwerpunkt</t>
  </si>
  <si>
    <t>46.39.9 - Großhandel mit sonstigen Nahrungs- und Genussmitteln, Getränken und Tabakwaren, ohne ausgeprägten Schwerpunkt</t>
  </si>
  <si>
    <t>46.41.0 - Großhandel mit Textilien</t>
  </si>
  <si>
    <t>46.42.1 - Großhandel mit Bekleidung</t>
  </si>
  <si>
    <t>46.42.2 - Großhandel mit Schuhen</t>
  </si>
  <si>
    <t>46.43.1 - Großhandel mit Foto- und optischen Erzeugnissen</t>
  </si>
  <si>
    <t>46.43.2 - Großhandel mit elektrischen Haushaltsgeräten</t>
  </si>
  <si>
    <t>46.43.3 - Großhandel mit Geräten der Unterhaltungselektronik</t>
  </si>
  <si>
    <t>46.44.1 - Großhandel mit keramischen Erzeugnissen und Glaswaren</t>
  </si>
  <si>
    <t>46.44.2 - Großhandel mit Wasch-, Putz- und Reinigungsmitteln</t>
  </si>
  <si>
    <t>46.45.0 - Großhandel mit kosmetischen Erzeugnissen und Körperpflegemitteln</t>
  </si>
  <si>
    <t>46.46.1 - Großhandel mit pharmazeutischen Erzeugnissen</t>
  </si>
  <si>
    <t>46.46.2 - Großhandel mit medizinischen und orthopädischen Artikeln, Dental- und Laborbedarf</t>
  </si>
  <si>
    <t>46.47.0 - Großhandel mit Möbeln, Teppichen, Lampen und Leuchten</t>
  </si>
  <si>
    <t>46.48.0 - Großhandel mit Uhren und Schmuck</t>
  </si>
  <si>
    <t>46.49.1 - Großhandel mit Spielwaren und Musikinstrumenten</t>
  </si>
  <si>
    <t>46.49.2 - Großhandel mit Fahrrädern, Fahrradteilen und -zubehör, Sport- und Campingartikeln (ohne Campingmöbel)</t>
  </si>
  <si>
    <t>46.49.3 - Großhandel mit Lederwaren, Reisegepäck, Geschenk- und Werbeartikeln</t>
  </si>
  <si>
    <t>46.49.4 - Großhandel mit Karton, Papier, Pappe, Schreibwaren, Bürobedarf, Büchern, Zeitschriften und Zeitungen</t>
  </si>
  <si>
    <t>46.49.5 - Großhandel mit nicht elektrischen Haushaltsgeräten, Haushaltswaren aus Metall sowie sonstigen Gebrauchs- und Verbrauchsgütern a. n. g.</t>
  </si>
  <si>
    <t>46.51.0 - Großhandel mit Datenverarbeitungsgeräten, peripheren Geräten und Software</t>
  </si>
  <si>
    <t>46.52.0 - Großhandel mit elektronischen Bauteilen und Telekommunikationsgeräten</t>
  </si>
  <si>
    <t>46.61.0 - Großhandel mit landwirtschaftlichen Maschinen und Geräten</t>
  </si>
  <si>
    <t>46.62.0 - Großhandel mit Werkzeugmaschinen</t>
  </si>
  <si>
    <t>46.63.0 - Großhandel mit Bergwerks-, Bau- und Baustoffmaschinen</t>
  </si>
  <si>
    <t>46.64.0 - Großhandel mit Textil-, Näh- und Strickmaschinen</t>
  </si>
  <si>
    <t>46.65.0 - Großhandel mit Büromöbeln</t>
  </si>
  <si>
    <t>46.66.0 - Großhandel mit sonstigen Büromaschinen und -einrichtungen</t>
  </si>
  <si>
    <t>46.69.1 - Großhandel mit Flurförderzeugen und Fahrzeugen a. n. g.</t>
  </si>
  <si>
    <t>46.69.2 - Großhandel mit sonstigen Maschinen</t>
  </si>
  <si>
    <t>46.69.3 - Großhandel mit sonstigen Ausrüstungen und Zubehör für Maschinen sowie mit technischem Bedarf</t>
  </si>
  <si>
    <t>46.71.1 - Großhandel mit festen Brennstoffen</t>
  </si>
  <si>
    <t>46.71.2 - Großhandel mit Mineralölerzeugnissen</t>
  </si>
  <si>
    <t>46.72.1 - Großhandel mit Eisenerzen, Eisen, Stahl, Eisen- und Stahlhalbzeug</t>
  </si>
  <si>
    <t>46.72.2 - Großhandel mit NE-Erzen, NE-Metallen und NE-Metallhalbzeug</t>
  </si>
  <si>
    <t>46.73.1 - Großhandel mit Holz, Baustoffen, Anstrichmitteln und Sanitärkeramik, ohne ausgeprägten Schwerpunkt</t>
  </si>
  <si>
    <t>46.73.2 - Großhandel mit Roh- und Schnittholz</t>
  </si>
  <si>
    <t>46.73.3 - Großhandel mit sonstigen Holzhalbwaren sowie Bauelementen aus Holz</t>
  </si>
  <si>
    <t>46.73.4 - Großhandel mit Baustoffen und Bauelementen aus mineralischen Stoffen</t>
  </si>
  <si>
    <t>46.73.5 - Großhandel mit Flachglas</t>
  </si>
  <si>
    <t>46.73.6 - Großhandel mit Anstrichmitteln</t>
  </si>
  <si>
    <t>46.73.7 - Großhandel mit Sanitärkeramik</t>
  </si>
  <si>
    <t>46.73.8 - Großhandel mit Tapeten und Bodenbelägen (ohne Teppiche)</t>
  </si>
  <si>
    <t>46.74.1 - Großhandel mit Werkzeugen und Kleineisenwaren</t>
  </si>
  <si>
    <t>46.74.2 - Großhandel mit Installationsbedarf für Gas, Wasser und Heizung</t>
  </si>
  <si>
    <t>46.74.3 - Großhandel mit Metall- und Kunststoffwaren für Bauzwecke</t>
  </si>
  <si>
    <t>46.75.0 - Großhandel mit chemischen Erzeugnissen</t>
  </si>
  <si>
    <t>46.76.0 - Großhandel mit sonstigen Halbwaren</t>
  </si>
  <si>
    <t>46.77.0 - Großhandel mit Altmaterialien und Reststoffen</t>
  </si>
  <si>
    <t>46.90.1 - Großhandel mit Rohstoffen, Halb- und Fertigwaren, ohne ausgeprägten Schwerpunkt</t>
  </si>
  <si>
    <t>46.90.2 - Großhandel mit Rohstoffen und Halbwaren, ohne ausgeprägten Schwerpunkt</t>
  </si>
  <si>
    <t>46.90.3 - Großhandel mit Fertigwaren, ohne ausgeprägten Schwerpunkt</t>
  </si>
  <si>
    <t>47.11.1 - Einzelhandel mit Nahrungs- und Genussmitteln, Getränken und Tabakwaren, ohne ausgeprägten Schwerpunkt</t>
  </si>
  <si>
    <t>47.11.2 - Sonstiger Einzelhandel mit Waren verschiedener Art, Hauptrichtung Nahrungs- und Genussmittel, Getränke und Tabakwaren</t>
  </si>
  <si>
    <t>47.19.1 - Einzelhandel mit Waren verschiedener Art (ohne Nahrungsmittel)</t>
  </si>
  <si>
    <t>47.19.2 - Einzelhandel mit Waren verschiedener Art, Hauptrichtung Nicht-Nahrungsmittel</t>
  </si>
  <si>
    <t>47.21.0 - Einzelhandel mit Obst, Gemüse und Kartoffeln</t>
  </si>
  <si>
    <t>47.22.0 - Einzelhandel mit Fleisch und Fleischwaren</t>
  </si>
  <si>
    <t>47.23.0 - Einzelhandel mit Fisch, Meeresfrüchten und Fischerzeugnissen</t>
  </si>
  <si>
    <t>47.24.0 - Einzelhandel mit Back- und Süßwaren</t>
  </si>
  <si>
    <t>47.25.0 - Einzelhandel mit Getränken</t>
  </si>
  <si>
    <t>47.26.0 - Einzelhandel mit Tabakwaren</t>
  </si>
  <si>
    <t>47.29.0 - Sonstiger Einzelhandel mit Nahrungs- und Genussmitteln</t>
  </si>
  <si>
    <t>47.30.1 - Einzelhandel in fremdem Namen mit Motorenkraftstoffen (Agenturtankstellen)</t>
  </si>
  <si>
    <t>47.30.2 - Einzelhandel in eigenem Namen mit Motorenkraftstoffen (Freie Tankstellen)</t>
  </si>
  <si>
    <t>47.41.0 - Einzelhandel mit Datenverarbeitungsgeräten, peripheren Geräten und Software</t>
  </si>
  <si>
    <t>47.42.0 - Einzelhandel mit Telekommunikationsgeräten</t>
  </si>
  <si>
    <t>47.43.0 - Einzelhandel mit Geräten der Unterhaltungselektronik</t>
  </si>
  <si>
    <t>47.51.0 - Einzelhandel mit Textilien</t>
  </si>
  <si>
    <t>47.52.1 - Einzelhandel mit Metall- und Kunststoffwaren a. n. g.</t>
  </si>
  <si>
    <t>47.52.3 - Einzelhandel mit Anstrichmitteln, Bau- und Heimwerkerbedarf</t>
  </si>
  <si>
    <t>47.53.0 - Einzelhandel mit Vorhängen, Teppichen, Fußbodenbelägen und Tapeten</t>
  </si>
  <si>
    <t>47.54.0 - Einzelhandel mit elektrischen Haushaltsgeräten</t>
  </si>
  <si>
    <t>47.59.1 - Einzelhandel mit Wohnmöbeln</t>
  </si>
  <si>
    <t>47.59.2 - Einzelhandel mit keramischen Erzeugnissen und Glaswaren</t>
  </si>
  <si>
    <t>47.59.3 - Einzelhandel mit Musikinstrumenten und Musikalien</t>
  </si>
  <si>
    <t>47.59.9 - Einzelhandel mit Haushaltsgegenständen a. n. g.</t>
  </si>
  <si>
    <t>47.61.0 - Einzelhandel mit Büchern</t>
  </si>
  <si>
    <t>47.62.1 - Einzelhandel mit Zeitschriften und  Zeitungen</t>
  </si>
  <si>
    <t>47.62.2 - Einzelhandel mit Schreib- und Papierwaren, Schul- und Büroartikeln</t>
  </si>
  <si>
    <t>47.63.0 - Einzelhandel mit bespielten Ton- und Bildträgern</t>
  </si>
  <si>
    <t>47.64.1 - Einzelhandel mit Fahrrädern, Fahrradteilen und -zubehör</t>
  </si>
  <si>
    <t>47.64.2 - Einzelhandel mit Sport- und Campingartikeln (ohne Campingmöbel)</t>
  </si>
  <si>
    <t>47.65.0 - Einzelhandel mit Spielwaren</t>
  </si>
  <si>
    <t>47.71.0 - Einzelhandel mit Bekleidung</t>
  </si>
  <si>
    <t>47.72.1 - Einzelhandel mit Schuhen</t>
  </si>
  <si>
    <t>47.72.2 - Einzelhandel mit Lederwaren und Reisegepäck</t>
  </si>
  <si>
    <t>47.73.0 - Apotheken</t>
  </si>
  <si>
    <t>47.74.0 - Einzelhandel mit medizinischen und orthopädischen Artikeln</t>
  </si>
  <si>
    <t>47.75.0 - Einzelhandel mit kosmetischen Erzeugnissen und Körperpflegemitteln</t>
  </si>
  <si>
    <t>47.76.1 - Einzelhandel mit Blumen, Pflanzen, Sämereien und Düngemitteln</t>
  </si>
  <si>
    <t>47.76.2 - Einzelhandel mit zoologischem Bedarf und lebenden Tieren</t>
  </si>
  <si>
    <t>47.77.0 - Einzelhandel mit Uhren und Schmuck</t>
  </si>
  <si>
    <t>47.78.1 - Augenoptiker</t>
  </si>
  <si>
    <t>47.78.2 - Einzelhandel mit Foto- und optischen Erzeugnissen (ohne Augenoptiker)</t>
  </si>
  <si>
    <t>47.78.3 - Einzelhandel mit Kunstgegenständen, Bildern, kunstgewerblichen Erzeugnissen, Briefmarken, Münzen und Geschenkartikeln</t>
  </si>
  <si>
    <t>47.78.9 - Sonstiger Einzelhandel a. n. g. (in Verkaufsräumen)</t>
  </si>
  <si>
    <t>47.79.1 - Einzelhandel mit Antiquitäten und antiken Teppichen</t>
  </si>
  <si>
    <t>47.79.2 - Antiquariate</t>
  </si>
  <si>
    <t>47.79.9 - Einzelhandel mit sonstigen Gebrauchtwaren</t>
  </si>
  <si>
    <t>47.81.0 - Einzelhandel mit Nahrungs- und Genussmitteln, Getränken und Tabakwaren an Verkaufsständen und auf Märkten</t>
  </si>
  <si>
    <t>47.82.0 - Einzelhandel mit Textilien, Bekleidung und Schuhen an Verkaufsständen und auf Märkten</t>
  </si>
  <si>
    <t>47.89.0 - Einzelhandel mit sonstigen Gütern an Verkaufsständen und auf Märkten</t>
  </si>
  <si>
    <t>47.91.1 - Versand- und Internet-Einzelhandel mit Textilien, Bekleidung, Schuhen und Lederwaren</t>
  </si>
  <si>
    <t>47.91.9 - Sonstiger Versand- und Internet-Einzelhandel</t>
  </si>
  <si>
    <t>47.99.1 - Einzelhandel vom Lager mit Brennstoffen</t>
  </si>
  <si>
    <t>47.99.9 - Sonstiger Einzelhandel a. n. g. (nicht in Verkaufsräumen)</t>
  </si>
  <si>
    <t>49.10.0 - Personenbeförderung im Eisenbahnfernverkehr</t>
  </si>
  <si>
    <t>49.20.0 - Güterbeförderung im Eisenbahnverkehr</t>
  </si>
  <si>
    <t>49.31.0 - Personenbeförderung im Nahverkehr zu Lande (ohne Taxis)</t>
  </si>
  <si>
    <t>49.32.0 - Betrieb von Taxis</t>
  </si>
  <si>
    <t>49.39.1 - Personenbeförderung im Omnibus-Linienfernverkehr</t>
  </si>
  <si>
    <t>49.39.2 - Personenbeförderung im Omnibus-Gelegenheitsverkehr</t>
  </si>
  <si>
    <t>49.39.9 - Personenbeförderung im Landverkehr a. n. g.</t>
  </si>
  <si>
    <t>49.41.0 - Güterbeförderung im Straßenverkehr</t>
  </si>
  <si>
    <t>49.42.0 - Umzugstransporte</t>
  </si>
  <si>
    <t>49.50.0 - Transport in Rohrfernleitungen</t>
  </si>
  <si>
    <t>50.10.0 - Personenbeförderung in der See- und Küstenschifffahrt</t>
  </si>
  <si>
    <t>50.20.0 - Güterbeförderung in der See- und Küstenschifffahrt</t>
  </si>
  <si>
    <t>50.30.0 - Personenbeförderung in der Binnenschifffahrt</t>
  </si>
  <si>
    <t>50.40.0 - Güterbeförderung in der Binnenschifffahrt</t>
  </si>
  <si>
    <t>51.10.0 - Personenbeförderung in der Luftfahrt</t>
  </si>
  <si>
    <t>51.21.0 - Güterbeförderung in der Luftfahrt</t>
  </si>
  <si>
    <t>51.22.0 - Raumtransport</t>
  </si>
  <si>
    <t>52.10.0 - Lagerei</t>
  </si>
  <si>
    <t>52.21.1 - Betrieb von Parkhäusern und Parkplätzen</t>
  </si>
  <si>
    <t>52.21.2 - Betrieb von Verkehrswegen für Straßenfahrzeuge</t>
  </si>
  <si>
    <t>52.21.3 - Betrieb von Verkehrswegen für Schienenfahrzeuge</t>
  </si>
  <si>
    <t>52.21.4 - Betrieb von Bahnhöfen für den Personenverkehr einschließlich Omnibusbahnhöfe</t>
  </si>
  <si>
    <t>52.21.5 - Betrieb von Güterabfertigungseinrichtungen für Schienen- und Straßenfahrzeuge (ohne Frachtumschlag)</t>
  </si>
  <si>
    <t>52.21.9 - Erbringung von sonstigen Dienstleistungen für den Landverkehr a. n. g.</t>
  </si>
  <si>
    <t>52.22.1 - Betrieb von Wasserstraßen</t>
  </si>
  <si>
    <t>52.22.2 - Betrieb von Häfen</t>
  </si>
  <si>
    <t>52.22.3 - Lotsinnen und Lotsen in der Schifffahrt</t>
  </si>
  <si>
    <t>52.22.9 - Erbringung von sonstigen Dienstleistungen für die Schifffahrt a. n. g.</t>
  </si>
  <si>
    <t>52.23.1 - Betrieb von Flughäfen und Landeplätzen für Luftfahrzeuge</t>
  </si>
  <si>
    <t>52.23.9 - Erbringung von sonstigen Dienstleistungen für die Luftfahrt a. n. g.</t>
  </si>
  <si>
    <t>52.24.0 - Frachtumschlag</t>
  </si>
  <si>
    <t>52.29.1 - Spedition</t>
  </si>
  <si>
    <t>52.29.2 - Schiffsmaklerbüros und -agenturen</t>
  </si>
  <si>
    <t>52.29.9 - Erbringung von Dienstleistungen für den Verkehr a. n. g.</t>
  </si>
  <si>
    <t>53.10.0 - Postdienste von Universaldienstleistungsanbietern</t>
  </si>
  <si>
    <t>53.20.0 - Sonstige Post-, Kurier- und Expressdienste</t>
  </si>
  <si>
    <t>55.10.1 - Hotels (ohne Hotels garnis)</t>
  </si>
  <si>
    <t>55.10.2 - Hotels garnis</t>
  </si>
  <si>
    <t>55.10.3 - Gasthöfe</t>
  </si>
  <si>
    <t>55.10.4 - Pensionen</t>
  </si>
  <si>
    <t>55.20.1 - Erholungs- und Ferienheime</t>
  </si>
  <si>
    <t>55.20.2 - Ferienzentren</t>
  </si>
  <si>
    <t>55.20.3 - Ferienhäuser und Ferienwohnungen</t>
  </si>
  <si>
    <t>55.20.4 - Jugendherbergen und Hütten</t>
  </si>
  <si>
    <t>55.30.0 - Campingplätze</t>
  </si>
  <si>
    <t>55.90.1 - Privatquartiere</t>
  </si>
  <si>
    <t>55.90.9 - Sonstige Beherbergungsstätten a. n. g.</t>
  </si>
  <si>
    <t>56.10.1 - Restaurants mit herkömmlicher Bedienung</t>
  </si>
  <si>
    <t>56.10.2 - Restaurants mit Selbstbedienung</t>
  </si>
  <si>
    <t>56.10.3 - Imbissstuben u. Ä.</t>
  </si>
  <si>
    <t>56.10.4 - Cafés</t>
  </si>
  <si>
    <t>56.10.5 - Eissalons</t>
  </si>
  <si>
    <t>56.21.0 - Event-Caterer</t>
  </si>
  <si>
    <t>56.29.0 - Erbringung sonstiger Verpflegungsdienstleistungen</t>
  </si>
  <si>
    <t>56.30.1 - Schankwirtschaften</t>
  </si>
  <si>
    <t>56.30.2 - Diskotheken und Tanzlokale</t>
  </si>
  <si>
    <t>56.30.3 - Bars</t>
  </si>
  <si>
    <t>56.30.4 - Vergnügungslokale</t>
  </si>
  <si>
    <t>56.30.9 - Sonstige getränkegeprägte Gastronomie</t>
  </si>
  <si>
    <t>58.11.0 - Verlegen von Büchern</t>
  </si>
  <si>
    <t>58.12.0 - Verlegen von Adressbüchern und Verzeichnissen</t>
  </si>
  <si>
    <t>58.13.0 - Verlegen von Zeitungen</t>
  </si>
  <si>
    <t>58.14.0 - Verlegen von Zeitschriften</t>
  </si>
  <si>
    <t>58.19.0 - Sonstiges Verlagswesen (ohne Software)</t>
  </si>
  <si>
    <t>58.21.0 - Verlegen von Computerspielen</t>
  </si>
  <si>
    <t>58.29.0 - Verlegen von sonstiger Software</t>
  </si>
  <si>
    <t>59.11.0 - Herstellung von Filmen, Videofilmen und Fernsehprogrammen</t>
  </si>
  <si>
    <t>59.12.0 - Nachbearbeitung und sonstige Filmtechnik</t>
  </si>
  <si>
    <t>59.13.0 - Filmverleih und -vertrieb (ohne Videotheken)</t>
  </si>
  <si>
    <t>59.14.0 - Kinos</t>
  </si>
  <si>
    <t>59.20.1 - Tonstudios und Herstellung von Hörfunkbeiträgen</t>
  </si>
  <si>
    <t>59.20.2 - Verlegen von bespielten Tonträgern</t>
  </si>
  <si>
    <t>59.20.3 - Verlegen von Musikalien</t>
  </si>
  <si>
    <t>60.10.0 - Hörfunkveranstalter</t>
  </si>
  <si>
    <t>60.20.0 - Fernsehveranstalter</t>
  </si>
  <si>
    <t>61.10.0 - Leitungsgebundene Telekommunikation</t>
  </si>
  <si>
    <t>61.20.0 - Drahtlose Telekommunikation</t>
  </si>
  <si>
    <t>61.30.0 - Satellitentelekommunikation</t>
  </si>
  <si>
    <t>61.90.1 - Internetserviceprovider</t>
  </si>
  <si>
    <t>61.90.9 - Sonstige Telekommunikation a. n. g.</t>
  </si>
  <si>
    <t>62.01.1 - Entwicklung und Programmierung von Internetpräsentationen</t>
  </si>
  <si>
    <t>62.01.9 - Sonstige Softwareentwicklung</t>
  </si>
  <si>
    <t>62.02.0 - Erbringung von Beratungsleistungen auf dem Gebiet der Informationstechnologie</t>
  </si>
  <si>
    <t>62.03.0 - Betrieb von Datenverarbeitungseinrichtungen für Dritte</t>
  </si>
  <si>
    <t>62.09.0 - Erbringung von sonstigen Dienstleistungen der Informationstechnologie</t>
  </si>
  <si>
    <t>63.11.0 - Datenverarbeitung, Hosting und damit verbundene Tätigkeiten</t>
  </si>
  <si>
    <t>63.12.0 - Webportale</t>
  </si>
  <si>
    <t>63.91.0 - Korrespondenz- und Nachrichtenbüros</t>
  </si>
  <si>
    <t>63.99.0 - Erbringung von sonstigen Informationsdienstleistungen a. n. g.</t>
  </si>
  <si>
    <t>64.11.0 - Zentralbanken</t>
  </si>
  <si>
    <t>64.19.1 - Kreditbanken einschließlich Zweigstellen ausländischer Banken</t>
  </si>
  <si>
    <t>64.19.2 - Kreditinstitute des Sparkassensektors</t>
  </si>
  <si>
    <t>64.19.3 - Kreditinstitute des Genossenschaftssektors</t>
  </si>
  <si>
    <t>64.19.4 - Realkreditinstitute</t>
  </si>
  <si>
    <t>64.19.5 - Kreditinstitute mit Sonderaufgaben</t>
  </si>
  <si>
    <t>64.19.6 - Bausparkassen</t>
  </si>
  <si>
    <t>64.20.0 - Beteiligungsgesellschaften</t>
  </si>
  <si>
    <t>64.30.0 - Treuhand- und sonstige Fonds und ähnliche Finanzinstitutionen</t>
  </si>
  <si>
    <t>64.91.0 - Institutionen für Finanzierungsleasing</t>
  </si>
  <si>
    <t>64.92.1 - Spezialkreditinstitute (ohne Pfandkreditgeschäfte)</t>
  </si>
  <si>
    <t>64.92.2 - Leihhäuser</t>
  </si>
  <si>
    <t>64.99.1 - Investmentaktiengesellschaften und Fonds von Kapitalanlagegesellschaften (ohne Geldmarktfonds)</t>
  </si>
  <si>
    <t>64.99.9 - Sonstige Finanzierungsinstitutionen a. n. g.</t>
  </si>
  <si>
    <t>65.11.0 - Lebensversicherungen</t>
  </si>
  <si>
    <t>65.12.1 - Krankenversicherungen</t>
  </si>
  <si>
    <t>65.12.2 - Schaden- und Unfallversicherungen</t>
  </si>
  <si>
    <t>65.20.0 - Rückversicherungen</t>
  </si>
  <si>
    <t>65.30.0 - Pensionskassen und Pensionsfonds</t>
  </si>
  <si>
    <t>66.11.0 - Effekten- und Warenbörsen</t>
  </si>
  <si>
    <t>66.12.0 - Effekten- und Warenhandel</t>
  </si>
  <si>
    <t>66.19.0 - Sonstige mit Finanzdienstleistungen verbundene Tätigkeiten</t>
  </si>
  <si>
    <t>66.21.0 - Risiko- und Schadensbewertung</t>
  </si>
  <si>
    <t>66.22.0 - Tätigkeit von Versicherungsmaklerinnen und -maklern</t>
  </si>
  <si>
    <t>66.29.0 - Sonstige mit Versicherungsdienstleistungen und Pensionskassen verbundene Tätigkeiten</t>
  </si>
  <si>
    <t>66.30.0 - Fondsmanagement</t>
  </si>
  <si>
    <t>68.10.1 - Kauf und Verkauf von eigenen Wohngrundstücken, Wohngebäuden und Wohnungen</t>
  </si>
  <si>
    <t>68.10.2 - Kauf und Verkauf von eigenen Gewerbegrundstücken und Nichtwohngebäuden</t>
  </si>
  <si>
    <t>68.20.1 - Vermietung, Verpachtung von eigenen oder geleasten Wohngrundstücken, Wohngebäuden und Wohnungen</t>
  </si>
  <si>
    <t>68.20.2 - Vermietung, Verpachtung von eigenen oder geleasten Gewerbegrundstücken und Nichtwohngebäuden</t>
  </si>
  <si>
    <t>68.31.1 - Vermittlung von Wohngrundstücken, Wohngebäuden und Wohnungen für Dritte</t>
  </si>
  <si>
    <t>68.31.2 - Vermittlung von Gewerbegrundstücken und Nichtwohngebäuden für Dritte</t>
  </si>
  <si>
    <t>68.32.1 - Verwaltung von Wohngrundstücken, Wohngebäuden und Wohnungen für Dritte</t>
  </si>
  <si>
    <t>68.32.2 - Verwaltung von Gewerbegrundstücken und Nichtwohngebäuden für Dritte</t>
  </si>
  <si>
    <t>69.10.1 - Rechtsanwaltskanzleien mit Notariat</t>
  </si>
  <si>
    <t>69.10.2 - Rechtsanwaltskanzleien ohne Notariat</t>
  </si>
  <si>
    <t>69.10.3 - Notariate</t>
  </si>
  <si>
    <t>69.10.4 - Patentanwaltskanzleien</t>
  </si>
  <si>
    <t>69.10.9 - Erbringung sonstiger juristischer Dienstleistungen a. n. g.</t>
  </si>
  <si>
    <t>69.20.1 - Praxen von Wirtschaftsprüferinnen und -prüfern, Wirtschaftsprüfungs-gesellschaften</t>
  </si>
  <si>
    <t>69.20.2 - Praxen von vereidigten Buchprüferinnen und -prüfern, Buchprüfungs-gesellschaften</t>
  </si>
  <si>
    <t>69.20.3 - Praxen von Steuerbevollmächtigten, Steuerberaterinnen und -beratern, Steuerberatungsgesellschaften</t>
  </si>
  <si>
    <t>69.20.4 - Buchführung (ohne Datenverarbeitungsdienste)</t>
  </si>
  <si>
    <t>70.10.1 - Managementtätigkeiten von Holdinggesellschaften</t>
  </si>
  <si>
    <t>70.10.9 - Sonstige Verwaltung und Führung von Unternehmen und Betrieben</t>
  </si>
  <si>
    <t>70.21.0 - Public-Relations-Beratung</t>
  </si>
  <si>
    <t>70.22.0 - Unternehmensberatung</t>
  </si>
  <si>
    <t>71.11.1 - Architekturbüros für Hochbau</t>
  </si>
  <si>
    <t>71.11.2 - Büros für Innenarchitektur</t>
  </si>
  <si>
    <t>71.11.3 - Architekturbüros für Orts-, Regional- und Landesplanung</t>
  </si>
  <si>
    <t>71.11.4 - Architekturbüros für Garten- und Landschaftsgestaltung</t>
  </si>
  <si>
    <t>71.12.1 - Ingenieurbüros für bautechnische Gesamtplanung</t>
  </si>
  <si>
    <t>71.12.2 - Ingenieurbüros für technische Fachplanung und Ingenieurdesign</t>
  </si>
  <si>
    <t>71.12.3 - Vermessungsbüros</t>
  </si>
  <si>
    <t>71.12.9 - Sonstige Ingenieurbüros</t>
  </si>
  <si>
    <t>71.20.0 - Technische, physikalische und chemische Untersuchung</t>
  </si>
  <si>
    <t>72.11.0 - Forschung und Entwicklung im Bereich Biotechnologie</t>
  </si>
  <si>
    <t>72.19.0 - Sonstige Forschung und Entwicklung im Bereich Natur-, Ingenieur-, Agrarwissenschaften und Medizin</t>
  </si>
  <si>
    <t>72.20.0 - Forschung und Entwicklung im Bereich Rechts-, Wirtschafts- und Sozialwissenschaften sowie im Bereich Sprach-, Kultur- und Kunstwissenschaften</t>
  </si>
  <si>
    <t>73.11.0 - Werbeagenturen</t>
  </si>
  <si>
    <t>73.12.0 - Vermarktung und Vermittlung von Werbezeiten und Werbeflächen</t>
  </si>
  <si>
    <t>73.20.0 - Markt- und Meinungsforschung</t>
  </si>
  <si>
    <t>74.10.1 - Industrie-, Produkt- und Mode-Design</t>
  </si>
  <si>
    <t>74.10.2 - Grafik- und Kommunikationsdesign</t>
  </si>
  <si>
    <t>74.10.3 - Interior Design und Raumgestaltung</t>
  </si>
  <si>
    <t>74.20.1 - Fotografie</t>
  </si>
  <si>
    <t>74.20.2 - Fotolabors</t>
  </si>
  <si>
    <t>74.30.1 - Übersetzen</t>
  </si>
  <si>
    <t>74.30.2 - Dolmetschen</t>
  </si>
  <si>
    <t>74.90.0 - Sonstige freiberufliche, wissenschaftliche und technische Tätigkeiten a. n. g.</t>
  </si>
  <si>
    <t>75.00.1 - Tierarztpraxen</t>
  </si>
  <si>
    <t>75.00.9 - Sonstiges Veterinärwesen</t>
  </si>
  <si>
    <t>77.11.0 - Vermietung von Kraftwagen mit einem Gesamtgewicht von 3,5 t oder weniger</t>
  </si>
  <si>
    <t>77.12.0 - Vermietung von Kraftwagen mit einem Gesamtgewicht von mehr als 3,5 t</t>
  </si>
  <si>
    <t>77.21.0 - Vermietung von Sport- und Freizeitgeräten</t>
  </si>
  <si>
    <t>77.22.0 - Videotheken</t>
  </si>
  <si>
    <t>77.29.0 - Vermietung von sonstigen Gebrauchsgütern</t>
  </si>
  <si>
    <t>77.31.0 - Vermietung von landwirtschaftlichen Maschinen und Geräten</t>
  </si>
  <si>
    <t>77.32.0 - Vermietung von Baumaschinen und -geräten</t>
  </si>
  <si>
    <t>77.33.0 - Vermietung von Büromaschinen, Datenverarbeitungsgeräten und -einrichtungen</t>
  </si>
  <si>
    <t>77.34.0 - Vermietung von Wasserfahrzeugen</t>
  </si>
  <si>
    <t>77.35.0 - Vermietung von Luftfahrzeugen</t>
  </si>
  <si>
    <t>77.39.0 - Vermietung von sonstigen Maschinen, Geräten und beweglichen Sachen a. n. g.</t>
  </si>
  <si>
    <t>77.40.0 - Leasing von nichtfinanziellen immateriellen Vermögensgegenständen (ohne Copyrights)</t>
  </si>
  <si>
    <t>78.10.0 - Vermittlung von Arbeitskräften</t>
  </si>
  <si>
    <t>78.20.0 - Befristete Überlassung von Arbeitskräften</t>
  </si>
  <si>
    <t>78.30.0 - Sonstige Überlassung von Arbeitskräften</t>
  </si>
  <si>
    <t>79.11.0 - Reisebüros</t>
  </si>
  <si>
    <t>79.12.0 - Reiseveranstalter</t>
  </si>
  <si>
    <t>79.90.0 - Erbringung sonstiger Reservierungsdienstleistungen</t>
  </si>
  <si>
    <t>80.10.0 - Private Wach- und Sicherheitsdienste</t>
  </si>
  <si>
    <t>80.20.0 - Sicherheitsdienste mithilfe von Überwachungs- und Alarmsystemen</t>
  </si>
  <si>
    <t>80.30.0 - Detekteien</t>
  </si>
  <si>
    <t>81.10.0 - Hausmeisterdienste</t>
  </si>
  <si>
    <t>81.21.0 - Allgemeine Gebäudereinigung</t>
  </si>
  <si>
    <t>81.22.1 - Schornsteinreinigung</t>
  </si>
  <si>
    <t>81.22.9 - Sonstige spezielle Reinigung von Gebäuden und Maschinen</t>
  </si>
  <si>
    <t>81.29.1 - Reinigung von Verkehrsmitteln</t>
  </si>
  <si>
    <t>81.29.2 - Desinfektion und Schädlingsbekämpfung</t>
  </si>
  <si>
    <t>81.29.9 - Sonstige Reinigung a. n. g.</t>
  </si>
  <si>
    <t>81.30.1 - Garten- und Landschaftsbau</t>
  </si>
  <si>
    <t>81.30.9 - Erbringung von sonstigen gärtnerischen Dienstleistungen</t>
  </si>
  <si>
    <t>82.11.0 - Allgemeine Sekretariats- und Schreibdienste</t>
  </si>
  <si>
    <t>82.19.0 - Copy-Shops; Dokumentenvorbereitung und Erbringung sonstiger spezieller Sekretariatsdienste</t>
  </si>
  <si>
    <t>82.20.0 - Call Center</t>
  </si>
  <si>
    <t>82.30.0 - Messe-, Ausstellungs- und Kongressveranstalter</t>
  </si>
  <si>
    <t>82.91.1 - Inkassobüros</t>
  </si>
  <si>
    <t>82.91.2 - Auskunfteien</t>
  </si>
  <si>
    <t>82.92.0 - Abfüllen und Verpacken</t>
  </si>
  <si>
    <t>82.99.1 - Versteigerungsgewerbe</t>
  </si>
  <si>
    <t>82.99.9 - Erbringung von anderen wirtschaftlichen Dienstleistungen für Unternehmen und Privatpersonen a. n. g.</t>
  </si>
  <si>
    <t>84.11.0 - Allgemeine öffentliche Verwaltung</t>
  </si>
  <si>
    <t>84.12.0 - Öffentliche Verwaltung auf den Gebieten Gesundheitswesen, Bildung, Kultur und Sozialwesen</t>
  </si>
  <si>
    <t>84.13.0 - Wirtschaftsförderung, -ordnung und -aufsicht</t>
  </si>
  <si>
    <t>84.21.0 - Auswärtige Angelegenheiten</t>
  </si>
  <si>
    <t>84.22.0 - Verteidigung</t>
  </si>
  <si>
    <t>84.23.0 - Rechtspflege</t>
  </si>
  <si>
    <t>84.24.0 - Öffentliche Sicherheit und Ordnung</t>
  </si>
  <si>
    <t>84.25.0 - Feuerwehren</t>
  </si>
  <si>
    <t>84.30.0 - Sozialversicherung</t>
  </si>
  <si>
    <t>85.10.1 - Kindergärten</t>
  </si>
  <si>
    <t>85.10.2 - Vorklassen, Schulkindergärten</t>
  </si>
  <si>
    <t>85.20.0 - Grundschulen</t>
  </si>
  <si>
    <t>85.31.1 - Allgemein bildende weiterführende Schulen Sekundarbereich I</t>
  </si>
  <si>
    <t>85.31.2 - Allgemein bildende weiterführende Schulen Sekundarbereich II</t>
  </si>
  <si>
    <t>85.32.0 - Berufsbildende weiterführende Schulen</t>
  </si>
  <si>
    <t>85.41.0 - Post-sekundärer, nicht tertiärer Unterricht</t>
  </si>
  <si>
    <t>85.42.1 - Universitäten</t>
  </si>
  <si>
    <t>85.42.2 - Allgemeine Fachhochschulen</t>
  </si>
  <si>
    <t>85.42.3 - Verwaltungsfachhochschulen</t>
  </si>
  <si>
    <t>85.42.4 - Berufsakademien, Fachakademien, Schulen des Gesundheitswesens</t>
  </si>
  <si>
    <t>85.51.0 - Sport- und Freizeitunterricht</t>
  </si>
  <si>
    <t>85.52.0 - Kulturunterricht</t>
  </si>
  <si>
    <t>85.53.0 - Fahr- und Flugschulen</t>
  </si>
  <si>
    <t>85.59.1 - Allgemeine und politische Erwachsenenbildung</t>
  </si>
  <si>
    <t>85.59.2 - Berufliche Erwachsenenbildung</t>
  </si>
  <si>
    <t>85.59.9 - Unterricht a. n. g.</t>
  </si>
  <si>
    <t>85.60.0 - Erbringung von Dienstleistungen für den Unterricht</t>
  </si>
  <si>
    <t>86.10.1 - Krankenhäuser (ohne Hochschulkliniken, Vorsorge- und Rehabilitationskliniken)</t>
  </si>
  <si>
    <t>86.10.2 - Hochschulkliniken</t>
  </si>
  <si>
    <t>86.10.3 - Vorsorge- und Rehabilitationskliniken</t>
  </si>
  <si>
    <t>86.21.0 - Arztpraxen für Allgemeinmedizin</t>
  </si>
  <si>
    <t>86.22.0 - Facharztpraxen</t>
  </si>
  <si>
    <t>86.23.0 - Zahnarztpraxen</t>
  </si>
  <si>
    <t>86.90.1 - Praxen von psychologischen Psychotherapeutinnen und -therapeuten</t>
  </si>
  <si>
    <t>86.90.2 - Massagepraxen, Krankengymnastikpraxen, Praxen von medizinischen Bademeisterinnen und Bademeistern, Hebammen und Entbindungspflegern sowie von verwandten Berufen</t>
  </si>
  <si>
    <t>86.90.3 - Heilpraktikerpraxen</t>
  </si>
  <si>
    <t>86.90.9 - Sonstige selbstständige Tätigkeiten im Gesundheitswesen</t>
  </si>
  <si>
    <t>87.10.0 - Pflegeheime</t>
  </si>
  <si>
    <t>87.20.0 - Stationäre Einrichtungen zur psychosozialen Betreuung, Suchtbekämpfung u. Ä.</t>
  </si>
  <si>
    <t>87.30.0 - Altenheime; Alten- und Behindertenwohnheime</t>
  </si>
  <si>
    <t>87.90.0 - Sonstige Heime (ohne Erholungs- und Ferienheime)</t>
  </si>
  <si>
    <t>88.10.1 - Ambulante soziale Dienste</t>
  </si>
  <si>
    <t>88.10.2 - Sonstige soziale Betreuung älterer Menschen und Behinderter</t>
  </si>
  <si>
    <t>88.91.0 - Tagesbetreuung von Kindern</t>
  </si>
  <si>
    <t>88.99.0 - Sonstiges Sozialwesen a. n. g.</t>
  </si>
  <si>
    <t>90.01.1 - Theaterensembles</t>
  </si>
  <si>
    <t>90.01.2 - Ballettgruppen, Orchester, Kapellen und Chöre</t>
  </si>
  <si>
    <t>90.01.3 - Selbstständige Artistinnen und Artisten, Zirkusgruppen</t>
  </si>
  <si>
    <t>90.01.4 - Selbstständige Bühnen-, Film-, Hörfunk- und Fernsehkünstlerinnen und -künstler sowie sonstige darstellende Kunst</t>
  </si>
  <si>
    <t>90.02.0 - Erbringung von Dienstleistungen für die darstellende Kunst</t>
  </si>
  <si>
    <t>90.03.1 - Selbstständige Komponistinnen, Komponisten, Musikbearbeiterinnen und Musikbearbeiter</t>
  </si>
  <si>
    <t>90.03.2 - Selbstständige Schriftstellerinnen und Schriftsteller</t>
  </si>
  <si>
    <t>90.03.3 - Selbstständige bildende Künstlerinnen und Künstler</t>
  </si>
  <si>
    <t>90.03.4 - Selbstständige Restauratorinnen und Restauratoren</t>
  </si>
  <si>
    <t>90.03.5 - Selbstständige Journalistinnen und Journalisten, Pressefotografinnen und Pressefotografen</t>
  </si>
  <si>
    <t>90.04.1 - Theater- und Konzertveranstalter</t>
  </si>
  <si>
    <t>90.04.2 - Opern- und Schauspielhäuser, Konzerthallen und ähnliche Einrichtungen</t>
  </si>
  <si>
    <t>90.04.3 - Varietés und Kleinkunstbühnen</t>
  </si>
  <si>
    <t>91.01.0 - Bibliotheken und Archive</t>
  </si>
  <si>
    <t>91.02.0 - Museen</t>
  </si>
  <si>
    <t>91.03.0 - Betrieb von historischen Stätten und Gebäuden und ähnlichen Attraktionen</t>
  </si>
  <si>
    <t>91.04.0 - Botanische und zoologische Gärten sowie Naturparks</t>
  </si>
  <si>
    <t>92.00.3 - Wett-, Toto- und Lotteriewesen</t>
  </si>
  <si>
    <t>93.11.0 - Betrieb von Sportanlagen</t>
  </si>
  <si>
    <t>93.12.0 - Sportvereine</t>
  </si>
  <si>
    <t>93.13.0 - Fitnesszentren</t>
  </si>
  <si>
    <t>93.19.0 - Erbringung von sonstigen Dienstleistungen des Sports</t>
  </si>
  <si>
    <t>93.21.0 - Vergnügungs- und Themenparks</t>
  </si>
  <si>
    <t>93.29.0 - Erbringung von Dienstleistungen der Unterhaltung und der Erholung a. n. g.</t>
  </si>
  <si>
    <t>94.11.0 - Wirtschafts- und Arbeitgeberverbände</t>
  </si>
  <si>
    <t>94.12.0 - Berufsorganisationen</t>
  </si>
  <si>
    <t>94.20.0 - Arbeitnehmervereinigungen</t>
  </si>
  <si>
    <t>94.91.0 - Kirchliche und sonstige religiöse Vereinigungen</t>
  </si>
  <si>
    <t>94.92.0 - Politische Parteien und Vereinigungen</t>
  </si>
  <si>
    <t>94.99.1 - Organisationen der Bildung, Wissenschaft und Forschung</t>
  </si>
  <si>
    <t>94.99.2 - Organisationen der Kultur</t>
  </si>
  <si>
    <t>94.99.3 - Verbraucherorganisationen</t>
  </si>
  <si>
    <t>94.99.4 - Jugendorganisationen</t>
  </si>
  <si>
    <t>94.99.9 - Interessenvertretungen und Vereinigungen a. n. g.</t>
  </si>
  <si>
    <t>95.11.0 - Reparatur von Datenverarbeitungsgeräten und peripheren Geräten</t>
  </si>
  <si>
    <t>95.12.0 - Reparatur von Telekommunikationsgeräten</t>
  </si>
  <si>
    <t>95.21.0 - Reparatur von Geräten der Unterhaltungselektronik</t>
  </si>
  <si>
    <t>95.22.0 - Reparatur von elektrischen Haushaltsgeräten und Gartengeräten</t>
  </si>
  <si>
    <t>95.23.0 - Reparatur von Schuhen und Lederwaren</t>
  </si>
  <si>
    <t>95.24.0 - Reparatur von Möbeln und Einrichtungsgegenständen</t>
  </si>
  <si>
    <t>95.25.0 - Reparatur von Uhren und Schmuck</t>
  </si>
  <si>
    <t>95.29.0 - Reparatur von sonstigen Gebrauchsgütern</t>
  </si>
  <si>
    <t>96.01.0 - Wäscherei und chemische Reinigung</t>
  </si>
  <si>
    <t>96.03.1 - Bestattungsinstitute</t>
  </si>
  <si>
    <t>96.03.2 - Friedhöfe und Krematorien</t>
  </si>
  <si>
    <t>96.04.0 - Saunas, Solarien, Bäder u. Ä.</t>
  </si>
  <si>
    <t>96.09.0 - Erbringung von sonstigen Dienstleistungen a. n. g.</t>
  </si>
  <si>
    <t>Kurze Tätigkeits-
beschreibung:</t>
  </si>
  <si>
    <t>oder</t>
  </si>
  <si>
    <t>händische Eintragung:</t>
  </si>
  <si>
    <t>Eigenproduziert das Unternehmen Wärme aus erneuerbaren Energien?</t>
  </si>
  <si>
    <t>Nimmt das Unternehmen von anderen naheliegenden Betrieben direkt Strom oder Wärme aus erneuerbaren Energien ab?</t>
  </si>
  <si>
    <t>Eigenerzeugter Strom aus erneuerbaren Energien 2022</t>
  </si>
  <si>
    <t>Erfolgte ein Wechsel von leitungsgebundenem Gas oder Strom zu einem anderen, leitungsungebundenen  Energieträger in 2022?</t>
  </si>
  <si>
    <t>Name/
Bezeichnung:</t>
  </si>
  <si>
    <t>Feststellung und Umsatzbesteuerung ggf. GewStMB</t>
  </si>
  <si>
    <t>Kategorie A (Leitungsgebundenes Erdgas, Fernwärme und Strom)</t>
  </si>
  <si>
    <t>Sächsische Betriebsstätten</t>
  </si>
  <si>
    <t>b) Fernwärme</t>
  </si>
  <si>
    <t>c) Strom</t>
  </si>
  <si>
    <t>d) Anderer Energieträger 1</t>
  </si>
  <si>
    <t>e) Anderer Energieträger 2</t>
  </si>
  <si>
    <t>f) Anderer Energieträger 3</t>
  </si>
  <si>
    <t>Rechnungs-datum</t>
  </si>
  <si>
    <t>Lieferjahr</t>
  </si>
  <si>
    <t>Summen</t>
  </si>
  <si>
    <t>€/kWh</t>
  </si>
  <si>
    <t>Gebühren</t>
  </si>
  <si>
    <t>Vorsteuer</t>
  </si>
  <si>
    <t>Zwischensummen</t>
  </si>
  <si>
    <t>Zwischensumme</t>
  </si>
  <si>
    <t>Handelseinheit:</t>
  </si>
  <si>
    <t>Endbestand zum 31.12.2021</t>
  </si>
  <si>
    <t>Zukäufe in 2021 (s. Aufstellung)</t>
  </si>
  <si>
    <t>Verbrauch in 2021</t>
  </si>
  <si>
    <t>Menge
in Handelseinheit</t>
  </si>
  <si>
    <t>Zukäufe in 2022 (s. Aufstellung)</t>
  </si>
  <si>
    <t>Verbrauch in 2022</t>
  </si>
  <si>
    <t>Sonstige Anmerkungen</t>
  </si>
  <si>
    <t>(optional)</t>
  </si>
  <si>
    <t>Höhe der erhaltenen Dezember-Hilfe für Fernwärme</t>
  </si>
  <si>
    <t>Höhe der erhaltenen Dezember-Hilfe für leitungsgebundenes Erdgas</t>
  </si>
  <si>
    <t>1.</t>
  </si>
  <si>
    <t>2.</t>
  </si>
  <si>
    <t>3.</t>
  </si>
  <si>
    <t>4.</t>
  </si>
  <si>
    <t>5.</t>
  </si>
  <si>
    <t>Kleinstbetrieb</t>
  </si>
  <si>
    <t>Kleinbetrieb</t>
  </si>
  <si>
    <t>Mittelbetrieb</t>
  </si>
  <si>
    <t>Großbetrieb</t>
  </si>
  <si>
    <t>-   in den Rechtsakten, mit denen diese Sanktionen verhängt werden, ausdrücklich genannt sind,</t>
  </si>
  <si>
    <t>-   im Eigentum oder unter Kontrolle von Personen, Organisationen oder Einrichtungen stehen, gegen die die EU Sanktionen verhängt hat, oder</t>
  </si>
  <si>
    <t>-   in Wirtschaftszweigen tätig sind, gegen die die EU Sanktionen verhängt hat, soweit die Beihilfen die Ziele der betreffenden Sanktionen untergraben würden.</t>
  </si>
  <si>
    <r>
      <t xml:space="preserve">Ausgeschlossen sind Unternehmen, gegen die die </t>
    </r>
    <r>
      <rPr>
        <b/>
        <sz val="11"/>
        <rFont val="Calibri"/>
        <family val="2"/>
        <scheme val="minor"/>
      </rPr>
      <t xml:space="preserve">Europäische Union (EU) Sanktionen </t>
    </r>
    <r>
      <rPr>
        <sz val="11"/>
        <rFont val="Calibri"/>
        <family val="2"/>
        <scheme val="minor"/>
      </rPr>
      <t>verhängt hat, also etwa Unternehmen, die</t>
    </r>
  </si>
  <si>
    <t>Energieversorgungsunternehmen</t>
  </si>
  <si>
    <t>a) Leitungsgebundenes Erdgas</t>
  </si>
  <si>
    <t>Name:</t>
  </si>
  <si>
    <t>Statistisches Bundesamt</t>
  </si>
  <si>
    <t>Kategorie B (andere Energieträger außer leitungsgebundenes Erdgas und Strom sowie Treibstoffe für Fahrzeuge)</t>
  </si>
  <si>
    <t>Stammdaten zu den sächsischen Betriebsstätten</t>
  </si>
  <si>
    <t>Umsatz</t>
  </si>
  <si>
    <t>Gesamte Energiekosten</t>
  </si>
  <si>
    <t>Summe der Arbeitslöhne</t>
  </si>
  <si>
    <t>Betriebsst.-
Nr.</t>
  </si>
  <si>
    <t>ggf. abweichender Tätigkeitsschwerpunkt
ggü. dem angegebenen Wirtschaftszweig</t>
  </si>
  <si>
    <t>Auswahl Betriebsstätten</t>
  </si>
  <si>
    <t>Verbundenes Unternehmen 1</t>
  </si>
  <si>
    <t>Verbundenes Unternehmen 2</t>
  </si>
  <si>
    <t>Verbundenes Unternehmen 3</t>
  </si>
  <si>
    <t>Verbundenes Unternehmen 4</t>
  </si>
  <si>
    <t>Verbundenes Unternehmen 5</t>
  </si>
  <si>
    <t>Auswahl Art der Betriebsstätte</t>
  </si>
  <si>
    <t>Stätte der Geschäftsleitung</t>
  </si>
  <si>
    <t>Zweigniederlassung</t>
  </si>
  <si>
    <t>Geschäftsstelle</t>
  </si>
  <si>
    <t>Fabrikations- oder Werkstätte</t>
  </si>
  <si>
    <t>Warenlager</t>
  </si>
  <si>
    <t>Ein- oder Verkaufsstelle</t>
  </si>
  <si>
    <t>Bergwerk, Steinbruch oder andere Stätte zur Gewinnung von Bodenschätzen</t>
  </si>
  <si>
    <t>Bauausführung oder Montage</t>
  </si>
  <si>
    <t>Auswahl Trennung</t>
  </si>
  <si>
    <t>Wie erfolgt die Trennung der Umsätze und Energiekosten zwischen den Betriebsstätten?</t>
  </si>
  <si>
    <t>Gesonderte Buchführung</t>
  </si>
  <si>
    <t>Kosten- und Leistungsrechnung</t>
  </si>
  <si>
    <t>Hilfsweise: Zerlegung Gewerbesteuermessbetrag</t>
  </si>
  <si>
    <t>Antragsteller</t>
  </si>
  <si>
    <t>A1</t>
  </si>
  <si>
    <t>A2</t>
  </si>
  <si>
    <t>A3</t>
  </si>
  <si>
    <t>A4</t>
  </si>
  <si>
    <t>A5</t>
  </si>
  <si>
    <t>A6</t>
  </si>
  <si>
    <t>Insgesamt</t>
  </si>
  <si>
    <t>Anteil sächsischer Betriebsstätten</t>
  </si>
  <si>
    <t>Weitere Erläuterungen und ein Stichwortverzeichnis finden Sie hier:</t>
  </si>
  <si>
    <t>Sonstige Leistungsausschlüsse</t>
  </si>
  <si>
    <t>Erstattungsbeträge bitte positiv eingeben</t>
  </si>
  <si>
    <t>Weitere Betriebsstätten, die Energieträger nicht weiterverkaufen, laut gesonderter Aufstellung</t>
  </si>
  <si>
    <t>Fernwärme</t>
  </si>
  <si>
    <t>Form der Gewinnermittlung</t>
  </si>
  <si>
    <t>Einnahme-Überschuss-Rechnung</t>
  </si>
  <si>
    <t>Zeile 33</t>
  </si>
  <si>
    <t>Zeile 34</t>
  </si>
  <si>
    <t>Zeile 35</t>
  </si>
  <si>
    <t>Zeile 36</t>
  </si>
  <si>
    <t xml:space="preserve"> </t>
  </si>
  <si>
    <t>Nach Durchschnittssätzen (§ 13a EStG)</t>
  </si>
  <si>
    <t>Anteil für den Leistungszeitraum 
Jul. bis Dez. 2022</t>
  </si>
  <si>
    <t>Verluste und Ausgaben sind negativ einzugeben.</t>
  </si>
  <si>
    <t>Berechnung des voraussichtlichen Leistungsbetrags der Stufe 2 vor Höchstbetrag</t>
  </si>
  <si>
    <t>Bagatellgrenze von 2.500 € überschritten?</t>
  </si>
  <si>
    <t>Ansatz des kleineren Betrags</t>
  </si>
  <si>
    <t>Ergebnis der Leistungsprüfung der Stufe 2:</t>
  </si>
  <si>
    <t>Stufe 3 - Härtefallhilfe Plus mit Antrag Härtefallkommission</t>
  </si>
  <si>
    <t>Möchten Sie einen Antrag an die Härtefallkommission stellen?</t>
  </si>
  <si>
    <t>Gesamte berücksichtigungsfähige Energie-Mehrkosten (100%)</t>
  </si>
  <si>
    <t>Gesamt-Berechnungsergebnis</t>
  </si>
  <si>
    <t>Prüfung der Leistungsvoraussetzungen</t>
  </si>
  <si>
    <t>Energieintensität 2021</t>
  </si>
  <si>
    <t>Kürzung des voraussichtlichen Leistungsbetrags der Stufe 2 um Leistungen der Stufe 1 (Anrechnung)</t>
  </si>
  <si>
    <t>Anpassungsbeihilfe für die Landwirtschaft</t>
  </si>
  <si>
    <t>Kleinbeihilfe für die Landwirtschaft</t>
  </si>
  <si>
    <t>Steuerbilanz/Handelsbilanz m. Überleitung</t>
  </si>
  <si>
    <t>Mitarbeiterzahl per 31.12.2022:</t>
  </si>
  <si>
    <t>Lieferant</t>
  </si>
  <si>
    <t>Genereller Leistungsausschluss</t>
  </si>
  <si>
    <t>Leistungsausschluss Stufe 1</t>
  </si>
  <si>
    <t>Nachrichtlich: Summen der Betriebsstätten mit Weiterverkauf von mehr als 5%, die für die weitere Berechnung nicht berücksichtigt werden</t>
  </si>
  <si>
    <t>Hinweise/Bemerkungen</t>
  </si>
  <si>
    <t>Hinweise</t>
  </si>
  <si>
    <t>Übernahme für die weitere Berechnung</t>
  </si>
  <si>
    <t>Alternativ:
Zusammengefasste Daten laut gesonderter Anlage
(z. B. Konto des Energieträgers aus der Buchführung oder der Kosten- und Leistungsrechnung mit Angabe zum Energieversorgungsunternehmen)</t>
  </si>
  <si>
    <t>c) Leitungsgebundener Strom</t>
  </si>
  <si>
    <t>Bitte tragen Sie in die gelben Felder die zusammengefassten Daten der nicht-sächsischen Betriebsstätten ein.</t>
  </si>
  <si>
    <t>Energieintensität (gesamte Energiekosten)</t>
  </si>
  <si>
    <t>Faktor Preiserhöhung 2022 zu 2021</t>
  </si>
  <si>
    <t>Betroffenheitsgrad 2022 für diesen Energieträger</t>
  </si>
  <si>
    <t>Voraussichtlicher Leistungsbetrag vor Höchstbetrag</t>
  </si>
  <si>
    <t xml:space="preserve">Summe (Maßgebliches Ergebnis nach steuerlichen Vorschriften für den </t>
  </si>
  <si>
    <t>Leistungszeitraum Juli bis Dezember 2022)</t>
  </si>
  <si>
    <t>Ermittlung der leistungsfähigen Kosten der Energieträger</t>
  </si>
  <si>
    <t>Ermittlung des maßgeblichen Ergebnisses nach steuerlichen Vorschriften</t>
  </si>
  <si>
    <t>Verbrauch für das Kalenderjahr 2022  in der jeweiligen Handelseinheit</t>
  </si>
  <si>
    <t>Übernahme für die weitere Berechnung, sofern kein Weiterverkauf</t>
  </si>
  <si>
    <t>Leistungen Stufe 1</t>
  </si>
  <si>
    <t>Summe</t>
  </si>
  <si>
    <t>Leistungen Stufe 2</t>
  </si>
  <si>
    <t>80% Mehrkosten</t>
  </si>
  <si>
    <t>Leistungsvoraussetzungen:</t>
  </si>
  <si>
    <t>Anteil an Summe</t>
  </si>
  <si>
    <t>Leistungsbetrag vor Höchstbetrag</t>
  </si>
  <si>
    <t>Vollständigkeit Daten</t>
  </si>
  <si>
    <t>Leistungsbetrag Stufe 1 vor Höchstbetrag</t>
  </si>
  <si>
    <t>Leistungsbetrag Stufe 1 nach Höchstbetrag</t>
  </si>
  <si>
    <t>Tabelle 'Stammdaten':</t>
  </si>
  <si>
    <t>Tabelle 'Betriebsstätten':</t>
  </si>
  <si>
    <t>Tabelle 'Kostenaufstellung':</t>
  </si>
  <si>
    <t>Tabelle 'Stufe 2 und 3':</t>
  </si>
  <si>
    <t>KMU-Bewertung</t>
  </si>
  <si>
    <t>Berechnungsbogen</t>
  </si>
  <si>
    <t>KMU Informationsblatt</t>
  </si>
  <si>
    <t>Beschäftigte auf 450 Euro-Basis, Auszubildende = Faktor 0,3</t>
  </si>
  <si>
    <t>Auswahl des Größenmerkmals:</t>
  </si>
  <si>
    <t>Verbräuche angegeben:</t>
  </si>
  <si>
    <t>Vollst</t>
  </si>
  <si>
    <t>Übernommener Wert:</t>
  </si>
  <si>
    <t>Antrag Stufe 3:</t>
  </si>
  <si>
    <t>Tabelle "Ergebnis":</t>
  </si>
  <si>
    <t>Antrag Stufe 2:</t>
  </si>
  <si>
    <t xml:space="preserve">Liegen Verluste für den Zeitraum Juli bis Dezember 2022 vor und möchten Sie einen Antrag nach Stufe 2 </t>
  </si>
  <si>
    <t>oder für die Härtefallkommission (Stufe 3) stellen?</t>
  </si>
  <si>
    <t>Übernahme für weitere Berechnung</t>
  </si>
  <si>
    <t>Umrechnung von Teilzeitkräften: Beschäftigte bis 20 Stunden = Faktor 0,5, Beschäftigte bis 30 Stunden = Faktor 0,75, Beschäftigte über 30 Stunden = Faktor 1,</t>
  </si>
  <si>
    <t>Voraussichtliches betriebliches Investitionsvolumen der Jahre 2022 bis 2024 in erneuerbare Energien oder Energieeffizienz</t>
  </si>
  <si>
    <r>
      <t>Durchschnitts</t>
    </r>
    <r>
      <rPr>
        <b/>
        <u/>
        <sz val="11"/>
        <color theme="1"/>
        <rFont val="Calibri"/>
        <family val="2"/>
        <scheme val="minor"/>
      </rPr>
      <t>einkaufs</t>
    </r>
    <r>
      <rPr>
        <b/>
        <sz val="11"/>
        <color theme="1"/>
        <rFont val="Calibri"/>
        <family val="2"/>
        <scheme val="minor"/>
      </rPr>
      <t>preis 2021</t>
    </r>
  </si>
  <si>
    <r>
      <t>Durchschnitts</t>
    </r>
    <r>
      <rPr>
        <b/>
        <u/>
        <sz val="11"/>
        <color theme="1"/>
        <rFont val="Calibri"/>
        <family val="2"/>
        <scheme val="minor"/>
      </rPr>
      <t>einkaufs</t>
    </r>
    <r>
      <rPr>
        <b/>
        <sz val="11"/>
        <color theme="1"/>
        <rFont val="Calibri"/>
        <family val="2"/>
        <scheme val="minor"/>
      </rPr>
      <t>preis 2022</t>
    </r>
  </si>
  <si>
    <t>(Maximalbetrag 500.000 €)</t>
  </si>
  <si>
    <t>Zwischensumme 1 (Stufe 1 und 2 vor Höchstbetrag)</t>
  </si>
  <si>
    <t>Zwischensumme 2 (Stufe 3 vor Höchstbetrag)</t>
  </si>
  <si>
    <t>Zwischensumme 3 (voraussichtlicher Leistungsbetrag Stufe 1 bis 3 nach Anrechnung anderer Leistungen)</t>
  </si>
  <si>
    <t>Leistungsbetrag Stufe 2 vor Anrechnung Stufe 1</t>
  </si>
  <si>
    <t>Leistungsbetrag Stufe 2 nach Höchstbetrag</t>
  </si>
  <si>
    <t>Anteil an Zwischensumme 1:</t>
  </si>
  <si>
    <t>Faktor Leistungsbetrag Stufe 2:</t>
  </si>
  <si>
    <t>umgelegt auf die Energieträger</t>
  </si>
  <si>
    <t>Ausgleich Rundungsdifferenz</t>
  </si>
  <si>
    <t>verbleiben</t>
  </si>
  <si>
    <t>Leistungsbetrag Stufe 2 nach Anrechnung Stufe 1</t>
  </si>
  <si>
    <t>Kontrollsumme</t>
  </si>
  <si>
    <t>Vorauss. Leistungsbetrag</t>
  </si>
  <si>
    <t>Differenz</t>
  </si>
  <si>
    <t>Leistungen Stufe 3</t>
  </si>
  <si>
    <t>Beantragter Leistungsbetrag Stufe 3</t>
  </si>
  <si>
    <t>Anrechnung Leistungen Stufe 1 und 2</t>
  </si>
  <si>
    <t>Beantragter Leistungsbetrag nach Höchstbetrag</t>
  </si>
  <si>
    <t>Kosten nach Durchschnittpreise 22</t>
  </si>
  <si>
    <t>Leistungsbetrag nach ET</t>
  </si>
  <si>
    <t>Zusätzliche Daten zur Evaluierung</t>
  </si>
  <si>
    <t>Wz_MischB</t>
  </si>
  <si>
    <t>Mischbetrieb</t>
  </si>
  <si>
    <t>UT_MA</t>
  </si>
  <si>
    <t>Mitarb.-Vollzeitäquivalente</t>
  </si>
  <si>
    <t>Verb_UN</t>
  </si>
  <si>
    <t>Verbundenes Unternehmen</t>
  </si>
  <si>
    <t>Anz_BSt</t>
  </si>
  <si>
    <t>Anzahl sächs. Betriebsstätten</t>
  </si>
  <si>
    <t>ET_Name</t>
  </si>
  <si>
    <t>Preis im LZ bez. Energieträger</t>
  </si>
  <si>
    <t>Preis 21 bez. Energieträger</t>
  </si>
  <si>
    <t>Name des Energieträgers</t>
  </si>
  <si>
    <t>Verbrauchte Energieträger 21</t>
  </si>
  <si>
    <t>Verbrauchte Energieträger LZ</t>
  </si>
  <si>
    <t>ET_Leist</t>
  </si>
  <si>
    <t>Leistungsbet. Energieträger LZ</t>
  </si>
  <si>
    <t>Leist_Stufe1</t>
  </si>
  <si>
    <t>Leist_Stufe2</t>
  </si>
  <si>
    <t>Leist_Stufe3</t>
  </si>
  <si>
    <t>Daten zu den Zeiträumen</t>
  </si>
  <si>
    <t>Umsatz_2021</t>
  </si>
  <si>
    <t>Umsatz 2021</t>
  </si>
  <si>
    <t>LZ_Umsatz</t>
  </si>
  <si>
    <t>EK_2021</t>
  </si>
  <si>
    <t>LZ_EK</t>
  </si>
  <si>
    <t>LZ_Stl_Ergebnis</t>
  </si>
  <si>
    <t>Steuerliches Ergebnis LZ</t>
  </si>
  <si>
    <t>Umsatz im LZ (Gesamtjahr 2022)</t>
  </si>
  <si>
    <t>Energiekosten 2021 gesamt (inkl. Weiterverkaufsfälle)</t>
  </si>
  <si>
    <t>Leistungsbetrag Stufe 1</t>
  </si>
  <si>
    <t>Leistungsbetrag Stufe 2</t>
  </si>
  <si>
    <t>Leistungsbetrag Stufe 3</t>
  </si>
  <si>
    <t>Energiekosten LZ gesamt (Gesamtjahr 2022 inkl. Weiterverkaufsfälle)</t>
  </si>
  <si>
    <t>Dezemberhilfe-Gas</t>
  </si>
  <si>
    <t>DezH_Gas</t>
  </si>
  <si>
    <t>DezH_Fernw</t>
  </si>
  <si>
    <t>&lt;personell&gt;</t>
  </si>
  <si>
    <t>Dezemberhilfe-Fernwärme</t>
  </si>
  <si>
    <t>SMWA_Wechsel</t>
  </si>
  <si>
    <t>Wechsel von Gas/Strom in 2022</t>
  </si>
  <si>
    <t>SMWA_Eigenproduktion</t>
  </si>
  <si>
    <t>Eigenproduktion Wärme aus eE</t>
  </si>
  <si>
    <t>SMWA_Abnahme</t>
  </si>
  <si>
    <t>Abnahme Strom/Gas andere Betriebe eE</t>
  </si>
  <si>
    <t>SMWA_eE_Strom</t>
  </si>
  <si>
    <t>In 2022 erzeugter Strom aus eE</t>
  </si>
  <si>
    <t>SMWA_Invest</t>
  </si>
  <si>
    <t>Vorauss. Investitionsvolumen eE 22-24</t>
  </si>
  <si>
    <t>Details</t>
  </si>
  <si>
    <t>ET_Vrb_2021 (in kWh)</t>
  </si>
  <si>
    <t>LZ_ET_Vrb (in kWh)</t>
  </si>
  <si>
    <t>Umrechner</t>
  </si>
  <si>
    <t>Ermittlung des maßgeblichen Energieintensität (Energiekosten im Verhältnis zum Umsatz)</t>
  </si>
  <si>
    <t>Gesamtleistungsbetrag nach Stufe 1-3 nach Energieträgern</t>
  </si>
  <si>
    <t>Die Dateneingaben in folgenden Tabellen sind vollständig:</t>
  </si>
  <si>
    <t>s. Tabelle 'Stammdaten'</t>
  </si>
  <si>
    <t>Der Leistungsbetrag wird bis zur vollständigen Eingabe mit "Dateneingabe fehlt" ausgewiesen.</t>
  </si>
  <si>
    <t>ohne Werte der Ergänzungsbilanz</t>
  </si>
  <si>
    <t>Verbundene Unternehmen und 
Größeneinteilung</t>
  </si>
  <si>
    <t>Prüfung: Mindestfaktor von 2,00 erreicht</t>
  </si>
  <si>
    <t>Prüfung: Existenzgefährdung</t>
  </si>
  <si>
    <r>
      <t xml:space="preserve">Verbundene Unternehmen </t>
    </r>
    <r>
      <rPr>
        <sz val="11"/>
        <color theme="1"/>
        <rFont val="Calibri"/>
        <family val="2"/>
        <scheme val="minor"/>
      </rPr>
      <t>(Name und Anschrift der Geschäftsleitung)</t>
    </r>
  </si>
  <si>
    <t>(Verbundene Unternehmen sind insoweit ausgeschlossen)</t>
  </si>
  <si>
    <t>Öffentliches
Unternehmen</t>
  </si>
  <si>
    <t>Kredit- oder Finanzinstitut</t>
  </si>
  <si>
    <t>EU-Sanktionen</t>
  </si>
  <si>
    <t>Weitere Informationen finden Sie hier:</t>
  </si>
  <si>
    <t>Prüfung: Preisweitergabe der Energiekosten</t>
  </si>
  <si>
    <t>Stufe 2 - Härtefallhilfe Plus 2022</t>
  </si>
  <si>
    <t>(vgl. Tabellenblatt 'Kostenaufstellung')</t>
  </si>
  <si>
    <t>davon 80%</t>
  </si>
  <si>
    <t>Ergebnis: Mehrkosten nach Durchschnittspreisen 2022 ggü. 2021</t>
  </si>
  <si>
    <t>Anrechnung der Leistungen der Stufe 1 und 2 (Zwischensumme 1)</t>
  </si>
  <si>
    <t>Krisenbeihilfen für die Aquakultur im Freistaat Sachsen</t>
  </si>
  <si>
    <t xml:space="preserve">Voraussichtlicher Gesamtleistungsbetrag </t>
  </si>
  <si>
    <t>Energiekostendämpfungsprogramm des BAFA</t>
  </si>
  <si>
    <t>Unternehmen in Schwierigkeiten</t>
  </si>
  <si>
    <t>Insbesondere bei Insolvenzreife oder gestelltem Insolvenzantrag</t>
  </si>
  <si>
    <t>Aufstellung der leistungsberechtigten Kosten und der Jahresverbräuche 2021 und 2022 der sächsischen Betriebsstätten</t>
  </si>
  <si>
    <t xml:space="preserve">  (nicht erforderlich für die Anzeige des Leistungsbetrags)</t>
  </si>
  <si>
    <t>Erst bei einer vollständigen Eingabe soll die Berechnungshilfe im Förderportal hochgeladen werden.</t>
  </si>
  <si>
    <r>
      <rPr>
        <b/>
        <i/>
        <sz val="11"/>
        <color rgb="FFFF0000"/>
        <rFont val="Calibri"/>
        <family val="2"/>
        <scheme val="minor"/>
      </rPr>
      <t xml:space="preserve">Bitte machen Sie nur Angaben zu den Energieträgern, für die Sie einen Zuschuss beantragen möchten </t>
    </r>
    <r>
      <rPr>
        <i/>
        <sz val="11"/>
        <color theme="1"/>
        <rFont val="Calibri"/>
        <family val="2"/>
        <scheme val="minor"/>
      </rPr>
      <t xml:space="preserve">und wählen Sie bitte das betreffende Unternehmen aus und ergänzen die Daten der Zeile. Alternativ können Sie auch die zusammengefassten Daten in einer gesonderten Anlage zusammenstellen (z. B. Konto des Energieträgers aus der Buchführung oder der Kosten- und Leistungsrechnung mit Angabe zum Energieversorgungsunternehmen) und hier nur die bezogene Menge und den Verkaufspreis eintragen.
</t>
    </r>
    <r>
      <rPr>
        <b/>
        <i/>
        <sz val="12"/>
        <color rgb="FFFF0000"/>
        <rFont val="Calibri"/>
        <family val="2"/>
        <scheme val="minor"/>
      </rPr>
      <t>Treibstoffe für Fahrzeuge (z. B. Diesel, Benzin, LNG, Wasserstoff) sind nicht leistungsberechtigt.</t>
    </r>
  </si>
  <si>
    <t xml:space="preserve">Nutzen Sie bitte das Auswahlmenü oder geben Sie Ihre Wirtschaftszweignummer direkt ein.
</t>
  </si>
  <si>
    <t>Nur sächsische Betriebsstätten ohne Weiterverkauf</t>
  </si>
  <si>
    <t>Es bestehen weitere verbundene Unternehmen</t>
  </si>
  <si>
    <t>(§)</t>
  </si>
  <si>
    <t>Summen ohne Betriebsstätten mit Weiterverkauf von mehr als 5% der in 2022 erworbenen Energieträger (§)</t>
  </si>
  <si>
    <t>(§) Anschrift
(Straße und Hausnummer, PLZ und Ort)</t>
  </si>
  <si>
    <t>(§) Weiterverkauf von Energieträgern in 2022 zu mehr als 5%</t>
  </si>
  <si>
    <t>(§) Umsatz
nach § 1 Abs. 1 Nr. 1 UStG (Sollbesteuerung)</t>
  </si>
  <si>
    <t xml:space="preserve"> (§) Gesamte Energiekosten
inkl. Treibstoffe</t>
  </si>
  <si>
    <t>(§) Summe der Arbeitslöhne
nach § 29 GewStG</t>
  </si>
  <si>
    <t>Nicht-sächsische Betriebsstätten (§)</t>
  </si>
  <si>
    <t>(§) abzüglich erstattete Gebühren und Steuern, soweit nicht bei den Aufwendungen berücksichtigt</t>
  </si>
  <si>
    <t>(§) Bezogene Menge
in vollen kWh</t>
  </si>
  <si>
    <t>(§) Aufwendungen
in Euro</t>
  </si>
  <si>
    <t>(§) Bezogene Menge
in Handelseinheit</t>
  </si>
  <si>
    <t xml:space="preserve"> (§) Aufwendungen
in Euro</t>
  </si>
  <si>
    <t>Umsatz nach § 1 Abs. 1  Nr. 1 Umsatzsteuergesetz (Sollversteuerung)</t>
  </si>
  <si>
    <t>Eingaben sind im Tabellenblatt "Betriebsstätten" vorzunehmen</t>
  </si>
  <si>
    <t>Eingaben sind im Tabellenblatt "Kostenaufstellung" vorzunehmen</t>
  </si>
  <si>
    <t>Summe der voraussichtlichen Leistungsbeträge vor Höchstbetrag (Stufe 1) - Übertrag in das Tabellenblatt "Ergebnis"</t>
  </si>
  <si>
    <t>vgl. Tabellenblatt 'Stufe 1'</t>
  </si>
  <si>
    <t>Sofern es sich bei einem verbundenen Unternehmen um ein öffentliches Unternehmen, ein Kredit- oder Finanzinstitut, oder um ein Unternehmen handelt, dass im Zusammenhang mit EU-Sanktionen ausgeschlossen ist, sind in den Tabellenblättern 'Betriebsstätten', 'Kostenaufstellungen' und 'Stufe 2 und 3' für das betroffene verbundene Unternehmen keine Eingaben vorzunehmen.</t>
  </si>
  <si>
    <t>Beteiligung am Unternehmen von mehr als 50% durch eine juristische Person des öffentlichen Rechts</t>
  </si>
  <si>
    <t>(§) Endbestand zum 31.12.2020</t>
  </si>
  <si>
    <t>(§) Endbestand zum 31.12.2021</t>
  </si>
  <si>
    <t>(§) Endbestand zum 31.12.2022</t>
  </si>
  <si>
    <t>Für den Antragsteller und die verbundenen Unternehmen</t>
  </si>
  <si>
    <t>Abschreibungen und Jahresbeträge sind gleichmäßig auf die Kalendermonate zu verteilen.</t>
  </si>
  <si>
    <t>Übertrag ins Förderportal</t>
  </si>
  <si>
    <t>(Summe Zeile 30)</t>
  </si>
  <si>
    <t>(Summe Zeile 31)</t>
  </si>
  <si>
    <t>Voraussichtlicher Leistungsbetrag der Stufe 2 vor Höchstbetrag -
Übertrag in das Tabellenblatt 'Ergebnis'</t>
  </si>
  <si>
    <r>
      <t>Faktor Preiserhöhung 2022 ggü. 2021</t>
    </r>
    <r>
      <rPr>
        <i/>
        <sz val="11"/>
        <color theme="1"/>
        <rFont val="Calibri"/>
        <family val="2"/>
        <scheme val="minor"/>
      </rPr>
      <t xml:space="preserve"> (vgl. Tabellenblatt 'Stufe 1')</t>
    </r>
  </si>
  <si>
    <t>(§) Alternativ: Energieintensität 2020</t>
  </si>
  <si>
    <t>(§) Verbrauch von Juli bis Dezember 2022 in der jeweiligen Handelseinheit</t>
  </si>
  <si>
    <t>(§) Anteiliges Ergebnis Steuerbilanz/Überleitungsr. o. außerbilanzielle Korrekturen</t>
  </si>
  <si>
    <t>(§) Betriebseinnahmen (entsprechend Zeile 159 d. Anlage EÜR)</t>
  </si>
  <si>
    <t>(§) Steuerpflichtiger Gewinn (entsprechend Zeile 99 der Anlage 13a)</t>
  </si>
  <si>
    <t>(§) Betriebsausgaben (entsprechend Zeile 88 d. Anlage EÜR)</t>
  </si>
  <si>
    <t>(§) Ergebnisanteile aus Beteiligungen an Personengesellschaften</t>
  </si>
  <si>
    <t>(§) Gewerbesteuer, soweit gewerbesteuerpflichtig</t>
  </si>
  <si>
    <t>(§) Sonderbetriebseinnahmen der Gesellschafter</t>
  </si>
  <si>
    <t>(§) Sonderbetriebsausgaben der Gesellschafter</t>
  </si>
  <si>
    <t>(§) Summe Ergebnis verbundene Unternehmen</t>
  </si>
  <si>
    <t>(§) Liegt eine positive Fortführungsprognose bis April 2024 mit Bestätigung durch einen Steuerberater, Wirtschaftsprüfer oder Rechtsanwalt vor?</t>
  </si>
  <si>
    <t>Eine Existenzbedrohung liegt vor, wenn die Mehrkosten für Energie nach Durschnittspreisen mindestens 50% des Verlustes betragen.</t>
  </si>
  <si>
    <t>Voraussichtlicher Leistungsbetrag Stufe 1 (vgl. Tabellenblatt 'Stufe 1')</t>
  </si>
  <si>
    <t>Voraussichtlicher Leistungsbetrag Stufe 2 (vgl. Tabellenblatt 'Stufe 2 und 3')</t>
  </si>
  <si>
    <t>Beantragter Leistungsbetrag Härtefallkommission - Stufe 3 (vgl. Tabellenblatt 'Stufe 2 und 3')</t>
  </si>
  <si>
    <t>Tabellenblatt 'Betriebsstätten':</t>
  </si>
  <si>
    <t>Tabellenblatt 'Kostenaufstellung':</t>
  </si>
  <si>
    <t>Tabellenblatt 'Stufe 2 und 3':</t>
  </si>
  <si>
    <t>Tabellenblatt "Ergebnis":</t>
  </si>
  <si>
    <t>Kürzung um Leistungen aus Programmen des Bundes und der Länder (s. nachstehende Tabelle)</t>
  </si>
  <si>
    <t xml:space="preserve">Anzurechnende Leistungen des Bundes und der Länder für Energiekosten im Leistungszeitraum Juli bis Dezember 2022 </t>
  </si>
  <si>
    <t>(§) Haben Sie Zuschüsse für Energiekosten aus anderen Programmen des Bundes und der Länder für den Leistungszeitraum Juli bis Dezember 2022 erhalten?</t>
  </si>
  <si>
    <t>(§) Anteil für den Leistungszeitraum Juli bis Dezember 2022 für die
sächsischen Betriebsstätten</t>
  </si>
  <si>
    <t>(§) Leistungszeitraum</t>
  </si>
  <si>
    <t>(§) Bund</t>
  </si>
  <si>
    <t>(§) Programmname</t>
  </si>
  <si>
    <t>(§) Freistaat Sachsen/
Andere Bundesländer</t>
  </si>
  <si>
    <t xml:space="preserve">Nach der KMU-Definition der EU werden die Unternehmen in vier Größen eingeteilt. Die Größenmerkmale können Sie den rechts verlinkten Dokumenten entnehmen. Bei der Berechnung der Schwellenwerte sind verbundene Unternehmen und Partnerunternehmen zu berücksichtigen. Sofern in den letzten beiden Jahresabschlüssen die Schwellenwerte entweder über- oder unterschritten wurden, erfolgt eine entsprechende Neueinstufung.
</t>
  </si>
  <si>
    <r>
      <t xml:space="preserve">Bitte tragen Sie hier die Daten zu den sächsischen Betriebsstätten und in der nachstehenden Zusammenfassung die Werte zu den nicht-sächsischen Betriebsstätten ein. 
</t>
    </r>
    <r>
      <rPr>
        <sz val="11"/>
        <color rgb="FFFF0000"/>
        <rFont val="Calibri"/>
        <family val="2"/>
        <scheme val="minor"/>
      </rPr>
      <t>Bei einem Weiterverkauf von Energieträgern von mehr als 5% in 2022 werden die Daten der jeweiligen Betriebsstätte für die weitere Berechnung nicht zugrunde gelegt.</t>
    </r>
  </si>
  <si>
    <t>(§) Art der Betriebsstätte
nach § 12 AO i.V.m. § 28 GewStG</t>
  </si>
  <si>
    <t>Ergebnis: Kosten nach Durchschnittspreisen 2022</t>
  </si>
  <si>
    <t>Bei Gesellschaften inklusive Werte der Sonderbilanz I und II, jedoch</t>
  </si>
  <si>
    <t>Eine positive Fortführungsprognose mit Rentabilitätsvorschau und Liquiditätsplan mit Bestätigung eines prüfenden Dritten bis einschließlich April 2024 unter Berücksichtigung des Leistungsbetrags ist erforderlich. Hierfür steht ein separates Formular zur Verfügung.</t>
  </si>
  <si>
    <t>Hier wird das Gesamt-Berechnungsergebnis der Stufen dargestellt. Die Berechnung hat keine Rechtsverbindlichkeit. Maßgeblich ist allein der Bewilligungsbescheid der Sächsischen Aufbaubank.</t>
  </si>
  <si>
    <t>Tabellenblatt 'Stammdaten':</t>
  </si>
  <si>
    <t>Prüfung: Mindestenergieintensität von 5% erreicht (Ergebnis 1)?</t>
  </si>
  <si>
    <t>Energie-Mehrkosten (Betrag 2)</t>
  </si>
  <si>
    <t>Maßgeblicher Verlust nach steuerlichen Vorschriften (Betrag 3)</t>
  </si>
  <si>
    <t xml:space="preserve">(§) Antragsteller oder verbundenes Unternehmen </t>
  </si>
  <si>
    <t>(§) Antragsteller oder verbundenes Unternehmen</t>
  </si>
  <si>
    <t>Zusammenfassung der Daten nach Antragsteller und verbundenem Unternehmen</t>
  </si>
  <si>
    <t>Stammdaten des Antragstellers</t>
  </si>
  <si>
    <t>Handelt es sich bei dem Antragsteller um ein öffentliches Unternehmen?</t>
  </si>
  <si>
    <t>Handelt es sich bei dem Antragsteller um ein Kredit- oder Finanzinstitut?
(Verbundene Unternehmen sind insoweit ausgeschlossen)</t>
  </si>
  <si>
    <t>Gehört der Antragsteller zu der vorstehenden Gruppe?</t>
  </si>
  <si>
    <t>Gilt der Antragsteller seit dem 01.07.2022 als Unternehmen in Schwierigkeiten?</t>
  </si>
  <si>
    <t>Verbundene Unternehmen sind Unternehmen, die von dem Antragsteller oder von Gesellschaftern des Antragstellers beherrscht werden. Für die Gruppe der verbundenen Unternehmen kann nur ein Antrag gestellt werden. Insofern sind die Daten zu den verbundenen Unternehmen zusammengefasst in die Berechnungshilfe einzugeben, soweit kein Ausschluss vorliegt.</t>
  </si>
  <si>
    <t>Form der steuerlichen Gewinnermittlung 2022 (Antragsteller):</t>
  </si>
  <si>
    <t>Ergänzende Daten zur
Evaluierung
(Antragsteller und verbundene Unternehmen)</t>
  </si>
  <si>
    <t>Energiemehrkosten</t>
  </si>
  <si>
    <t>Voraussichtlicher Leistungsbetrag</t>
  </si>
  <si>
    <t>lt. Tabellenblatt "Ergebnis"</t>
  </si>
  <si>
    <t>Überkompensationsprüfung (Stufe 2 und 3)</t>
  </si>
  <si>
    <t>lt. Tabellenblatt "Stufe 2 und 3"</t>
  </si>
  <si>
    <t>Dezember-Hilfe</t>
  </si>
  <si>
    <t>Verbleiben 5 % der Energiemehrkosten als Eigenbeitrag?</t>
  </si>
  <si>
    <t>Für Zwecke der SAB</t>
  </si>
  <si>
    <t>Boni, Skonti</t>
  </si>
  <si>
    <t>Verbrauch 2021:</t>
  </si>
  <si>
    <t>Verbrauch 2022:</t>
  </si>
  <si>
    <t>Durchschnittspreis 2021:</t>
  </si>
  <si>
    <t>Durchschnittspreis 2022:</t>
  </si>
  <si>
    <t>Datenerfassung - Daten zu den Energieträgern (Leistungszeitraum 2022)</t>
  </si>
  <si>
    <t>Anteil am Gesamtleistungsbetrag nach Höchstbetrag:</t>
  </si>
  <si>
    <t>Diese sind namentlichen in ggf. mehreren Berechnungsbögen der SAB zur Ermittlung des KMU-Größenmerkmals darzustellen.</t>
  </si>
  <si>
    <r>
      <t xml:space="preserve">Die Daten benötigt die SAB  für die Entscheidung über Ihren Antrag. Bitte tragen Sie die Daten nach bestem Wissen und Gewissen ein und laden Sie bitte die Berechnungshilfe vollständig im pdf-Format im Förderportal der SAB hoch. </t>
    </r>
    <r>
      <rPr>
        <i/>
        <sz val="11"/>
        <color rgb="FFFF0000"/>
        <rFont val="Calibri"/>
        <family val="2"/>
        <scheme val="minor"/>
      </rPr>
      <t>Subventionserhebliche Tatsachen sind mit einem Paragrafenzeichen (§) versehen.</t>
    </r>
  </si>
  <si>
    <t>Stufe 1 - Härtefallhilfe 2022</t>
  </si>
  <si>
    <t>ET_Pr_2021 (pro kWh)</t>
  </si>
  <si>
    <t>LZ_ET_Pr (pro kWh)</t>
  </si>
  <si>
    <t>Eigenbeitrag nach Anrechnung Dezember-Hilfe</t>
  </si>
  <si>
    <t>(Eigenbeitrag 5% der Energiemehrkosten)</t>
  </si>
  <si>
    <t>V. 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</si>
</sst>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7" formatCode="#,##0.00\ &quot;€&quot;;\-#,##0.00\ &quot;€&quot;"/>
    <numFmt numFmtId="44" formatCode="_-* #,##0.00\ &quot;€&quot;_-;\-* #,##0.00\ &quot;€&quot;_-;_-* &quot;-&quot;??\ &quot;€&quot;_-;_-@_-"/>
    <numFmt numFmtId="43" formatCode="_-* #,##0.00_-;\-* #,##0.00_-;_-* &quot;-&quot;??_-;_-@_-"/>
    <numFmt numFmtId="164" formatCode="_-* #,##0.0000\ &quot;€&quot;_-;\-* #,##0.0000\ &quot;€&quot;_-;_-* &quot;-&quot;??\ &quot;€&quot;_-;_-@_-"/>
    <numFmt numFmtId="165" formatCode="_-* #,##0.00000\ &quot;€&quot;_-;\-* #,##0.00000\ &quot;€&quot;_-;_-* &quot;-&quot;??\ &quot;€&quot;_-;_-@_-"/>
    <numFmt numFmtId="166" formatCode="_-* #,##0.0000_-;\-* #,##0.0000_-;_-* &quot;-&quot;??_-;_-@_-"/>
    <numFmt numFmtId="167" formatCode="0.0000%"/>
    <numFmt numFmtId="168" formatCode="_-* #,##0_-;\-* #,##0_-;_-* &quot;-&quot;??_-;_-@_-"/>
    <numFmt numFmtId="169" formatCode="#,##0.0000"/>
    <numFmt numFmtId="170" formatCode="#,##0.00\ &quot;€&quot;"/>
    <numFmt numFmtId="171" formatCode="0.0000"/>
    <numFmt numFmtId="172" formatCode="#,##0\ &quot;kWh&quot;;\-#,##0\ &quot;kWh&quot;"/>
  </numFmts>
  <fonts count="52"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sz val="11"/>
      <color theme="8"/>
      <name val="Calibri"/>
      <family val="2"/>
      <scheme val="minor"/>
    </font>
    <font>
      <i/>
      <sz val="11"/>
      <color theme="1"/>
      <name val="Calibri"/>
      <family val="2"/>
      <scheme val="minor"/>
    </font>
    <font>
      <sz val="11"/>
      <name val="Calibri"/>
      <family val="2"/>
      <scheme val="minor"/>
    </font>
    <font>
      <sz val="11"/>
      <color theme="1"/>
      <name val="Webdings"/>
      <family val="1"/>
      <charset val="2"/>
    </font>
    <font>
      <b/>
      <sz val="12"/>
      <color theme="1"/>
      <name val="Calibri"/>
      <family val="2"/>
      <scheme val="minor"/>
    </font>
    <font>
      <sz val="12"/>
      <color theme="1"/>
      <name val="Webdings"/>
      <family val="1"/>
      <charset val="2"/>
    </font>
    <font>
      <sz val="11"/>
      <color rgb="FFFF0000"/>
      <name val="Calibri"/>
      <family val="2"/>
      <scheme val="minor"/>
    </font>
    <font>
      <b/>
      <sz val="14"/>
      <color theme="4"/>
      <name val="Calibri"/>
      <family val="2"/>
      <scheme val="minor"/>
    </font>
    <font>
      <b/>
      <i/>
      <sz val="11"/>
      <color theme="1"/>
      <name val="Calibri"/>
      <family val="2"/>
      <scheme val="minor"/>
    </font>
    <font>
      <i/>
      <sz val="10"/>
      <color theme="1"/>
      <name val="Calibri"/>
      <family val="2"/>
      <scheme val="minor"/>
    </font>
    <font>
      <i/>
      <sz val="11"/>
      <name val="Calibri"/>
      <family val="2"/>
      <scheme val="minor"/>
    </font>
    <font>
      <b/>
      <sz val="11"/>
      <name val="Calibri"/>
      <family val="2"/>
      <scheme val="minor"/>
    </font>
    <font>
      <sz val="10"/>
      <color rgb="FF000000"/>
      <name val="Times New Roman"/>
      <family val="1"/>
    </font>
    <font>
      <b/>
      <sz val="10"/>
      <name val="Arial"/>
      <family val="2"/>
    </font>
    <font>
      <sz val="10"/>
      <name val="Arial"/>
      <family val="2"/>
    </font>
    <font>
      <sz val="10"/>
      <name val="Gill Sans MT"/>
      <family val="2"/>
    </font>
    <font>
      <b/>
      <sz val="14"/>
      <name val="Calibri"/>
      <family val="2"/>
      <scheme val="minor"/>
    </font>
    <font>
      <sz val="8"/>
      <name val="Calibri"/>
      <family val="2"/>
      <scheme val="minor"/>
    </font>
    <font>
      <i/>
      <sz val="9"/>
      <name val="Calibri"/>
      <family val="2"/>
      <scheme val="minor"/>
    </font>
    <font>
      <u/>
      <sz val="11"/>
      <color theme="10"/>
      <name val="Calibri"/>
      <family val="2"/>
      <scheme val="minor"/>
    </font>
    <font>
      <i/>
      <sz val="9"/>
      <color theme="1"/>
      <name val="Calibri"/>
      <family val="2"/>
      <scheme val="minor"/>
    </font>
    <font>
      <b/>
      <i/>
      <sz val="9"/>
      <color rgb="FFFF0000"/>
      <name val="Calibri"/>
      <family val="2"/>
      <scheme val="minor"/>
    </font>
    <font>
      <b/>
      <sz val="14"/>
      <color theme="8"/>
      <name val="Calibri"/>
      <family val="2"/>
      <scheme val="minor"/>
    </font>
    <font>
      <b/>
      <sz val="12"/>
      <color theme="8"/>
      <name val="Calibri"/>
      <family val="2"/>
      <scheme val="minor"/>
    </font>
    <font>
      <b/>
      <i/>
      <sz val="11"/>
      <color rgb="FFFF0000"/>
      <name val="Calibri"/>
      <family val="2"/>
      <scheme val="minor"/>
    </font>
    <font>
      <sz val="9"/>
      <color theme="1"/>
      <name val="Calibri"/>
      <family val="2"/>
      <scheme val="minor"/>
    </font>
    <font>
      <sz val="8"/>
      <color theme="1"/>
      <name val="Calibri"/>
      <family val="2"/>
      <scheme val="minor"/>
    </font>
    <font>
      <sz val="9"/>
      <name val="Calibri"/>
      <family val="2"/>
      <scheme val="minor"/>
    </font>
    <font>
      <b/>
      <sz val="11"/>
      <color theme="0"/>
      <name val="Calibri"/>
      <family val="2"/>
      <scheme val="minor"/>
    </font>
    <font>
      <b/>
      <sz val="16"/>
      <color theme="1"/>
      <name val="Calibri"/>
      <family val="2"/>
      <scheme val="minor"/>
    </font>
    <font>
      <sz val="11"/>
      <color rgb="FF006100"/>
      <name val="Calibri"/>
      <family val="2"/>
      <scheme val="minor"/>
    </font>
    <font>
      <b/>
      <i/>
      <sz val="12"/>
      <color theme="1"/>
      <name val="Calibri"/>
      <family val="2"/>
      <scheme val="minor"/>
    </font>
    <font>
      <i/>
      <sz val="11"/>
      <color theme="8"/>
      <name val="Calibri"/>
      <family val="2"/>
      <scheme val="minor"/>
    </font>
    <font>
      <i/>
      <sz val="9"/>
      <color theme="8"/>
      <name val="Calibri"/>
      <family val="2"/>
      <scheme val="minor"/>
    </font>
    <font>
      <b/>
      <i/>
      <sz val="12"/>
      <color rgb="FFFF0000"/>
      <name val="Calibri"/>
      <family val="2"/>
      <scheme val="minor"/>
    </font>
    <font>
      <i/>
      <sz val="9"/>
      <color theme="4"/>
      <name val="Calibri"/>
      <family val="2"/>
      <scheme val="minor"/>
    </font>
    <font>
      <b/>
      <u/>
      <sz val="11"/>
      <color theme="1"/>
      <name val="Calibri"/>
      <family val="2"/>
      <scheme val="minor"/>
    </font>
    <font>
      <b/>
      <sz val="14"/>
      <color rgb="FFFF0000"/>
      <name val="Calibri"/>
      <family val="2"/>
      <scheme val="minor"/>
    </font>
    <font>
      <u/>
      <sz val="11"/>
      <color theme="11"/>
      <name val="Calibri"/>
      <family val="2"/>
      <scheme val="minor"/>
    </font>
    <font>
      <i/>
      <sz val="11"/>
      <color theme="9"/>
      <name val="Calibri"/>
      <family val="2"/>
      <scheme val="minor"/>
    </font>
    <font>
      <sz val="11"/>
      <color theme="9"/>
      <name val="Calibri"/>
      <family val="2"/>
      <scheme val="minor"/>
    </font>
    <font>
      <b/>
      <sz val="11"/>
      <color theme="9"/>
      <name val="Calibri"/>
      <family val="2"/>
      <scheme val="minor"/>
    </font>
    <font>
      <i/>
      <sz val="11"/>
      <color theme="4" tint="-0.249977111117893"/>
      <name val="Calibri"/>
      <family val="2"/>
      <scheme val="minor"/>
    </font>
    <font>
      <sz val="11"/>
      <color theme="4" tint="-0.249977111117893"/>
      <name val="Calibri"/>
      <family val="2"/>
      <scheme val="minor"/>
    </font>
    <font>
      <i/>
      <sz val="11"/>
      <color rgb="FFFF0000"/>
      <name val="Calibri"/>
      <family val="2"/>
      <scheme val="minor"/>
    </font>
    <font>
      <b/>
      <sz val="12"/>
      <name val="Calibri"/>
      <family val="2"/>
      <scheme val="minor"/>
    </font>
    <font>
      <b/>
      <sz val="11"/>
      <color theme="8"/>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0"/>
        <bgColor indexed="64"/>
      </patternFill>
    </fill>
    <fill>
      <patternFill patternType="solid">
        <fgColor theme="6"/>
        <bgColor indexed="64"/>
      </patternFill>
    </fill>
    <fill>
      <patternFill patternType="solid">
        <fgColor rgb="FFC6EFCE"/>
      </patternFill>
    </fill>
    <fill>
      <patternFill patternType="solid">
        <fgColor theme="1" tint="0.499984740745262"/>
        <bgColor indexed="64"/>
      </patternFill>
    </fill>
    <fill>
      <patternFill patternType="solid">
        <fgColor theme="1" tint="0.34998626667073579"/>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6" tint="0.79998168889431442"/>
        <bgColor indexed="64"/>
      </patternFill>
    </fill>
  </fills>
  <borders count="77">
    <border>
      <left/>
      <right/>
      <top/>
      <bottom/>
      <diagonal/>
    </border>
    <border>
      <left/>
      <right/>
      <top/>
      <bottom style="thick">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medium">
        <color auto="1"/>
      </top>
      <bottom/>
      <diagonal/>
    </border>
    <border>
      <left style="thin">
        <color auto="1"/>
      </left>
      <right style="thin">
        <color indexed="64"/>
      </right>
      <top/>
      <bottom style="medium">
        <color auto="1"/>
      </bottom>
      <diagonal/>
    </border>
    <border>
      <left style="thin">
        <color indexed="64"/>
      </left>
      <right/>
      <top/>
      <bottom style="medium">
        <color auto="1"/>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indexed="64"/>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style="thin">
        <color auto="1"/>
      </left>
      <right style="thin">
        <color auto="1"/>
      </right>
      <top style="thin">
        <color indexed="64"/>
      </top>
      <bottom style="double">
        <color indexed="6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style="thin">
        <color indexed="64"/>
      </top>
      <bottom/>
      <diagonal/>
    </border>
    <border>
      <left/>
      <right style="thick">
        <color theme="4"/>
      </right>
      <top style="thin">
        <color indexed="64"/>
      </top>
      <bottom/>
      <diagonal/>
    </border>
    <border>
      <left style="thick">
        <color theme="4"/>
      </left>
      <right/>
      <top/>
      <bottom style="medium">
        <color auto="1"/>
      </bottom>
      <diagonal/>
    </border>
    <border>
      <left style="thin">
        <color indexed="64"/>
      </left>
      <right style="thick">
        <color theme="4"/>
      </right>
      <top/>
      <bottom style="medium">
        <color auto="1"/>
      </bottom>
      <diagonal/>
    </border>
    <border>
      <left style="thick">
        <color theme="4"/>
      </left>
      <right/>
      <top/>
      <bottom/>
      <diagonal/>
    </border>
    <border>
      <left style="thin">
        <color auto="1"/>
      </left>
      <right style="thick">
        <color theme="4"/>
      </right>
      <top/>
      <bottom/>
      <diagonal/>
    </border>
    <border>
      <left style="thick">
        <color theme="4"/>
      </left>
      <right/>
      <top style="thin">
        <color indexed="64"/>
      </top>
      <bottom style="thin">
        <color indexed="64"/>
      </bottom>
      <diagonal/>
    </border>
    <border>
      <left style="thin">
        <color indexed="64"/>
      </left>
      <right style="thick">
        <color theme="4"/>
      </right>
      <top style="thin">
        <color indexed="64"/>
      </top>
      <bottom style="thin">
        <color indexed="64"/>
      </bottom>
      <diagonal/>
    </border>
    <border>
      <left style="thick">
        <color theme="4"/>
      </left>
      <right/>
      <top/>
      <bottom style="thick">
        <color theme="4"/>
      </bottom>
      <diagonal/>
    </border>
    <border>
      <left/>
      <right style="thick">
        <color theme="4"/>
      </right>
      <top/>
      <bottom style="thick">
        <color theme="4"/>
      </bottom>
      <diagonal/>
    </border>
    <border>
      <left style="thick">
        <color theme="4"/>
      </left>
      <right style="thick">
        <color theme="4"/>
      </right>
      <top style="thick">
        <color theme="4"/>
      </top>
      <bottom/>
      <diagonal/>
    </border>
    <border>
      <left style="thick">
        <color theme="4"/>
      </left>
      <right style="thick">
        <color theme="4"/>
      </right>
      <top/>
      <bottom style="thick">
        <color theme="4"/>
      </bottom>
      <diagonal/>
    </border>
    <border>
      <left/>
      <right style="thin">
        <color indexed="64"/>
      </right>
      <top/>
      <bottom style="double">
        <color indexed="64"/>
      </bottom>
      <diagonal/>
    </border>
    <border>
      <left style="thick">
        <color theme="4"/>
      </left>
      <right style="thin">
        <color indexed="64"/>
      </right>
      <top/>
      <bottom style="double">
        <color theme="4"/>
      </bottom>
      <diagonal/>
    </border>
    <border>
      <left style="thin">
        <color indexed="64"/>
      </left>
      <right style="thin">
        <color indexed="64"/>
      </right>
      <top/>
      <bottom style="double">
        <color theme="4"/>
      </bottom>
      <diagonal/>
    </border>
    <border>
      <left style="thin">
        <color indexed="64"/>
      </left>
      <right style="thick">
        <color theme="4"/>
      </right>
      <top/>
      <bottom style="double">
        <color theme="4"/>
      </bottom>
      <diagonal/>
    </border>
    <border>
      <left/>
      <right style="thin">
        <color auto="1"/>
      </right>
      <top style="thin">
        <color indexed="64"/>
      </top>
      <bottom style="double">
        <color indexed="64"/>
      </bottom>
      <diagonal/>
    </border>
    <border>
      <left style="thin">
        <color auto="1"/>
      </left>
      <right style="thin">
        <color auto="1"/>
      </right>
      <top style="double">
        <color indexed="64"/>
      </top>
      <bottom style="thin">
        <color indexed="64"/>
      </bottom>
      <diagonal/>
    </border>
    <border>
      <left/>
      <right style="thin">
        <color indexed="64"/>
      </right>
      <top/>
      <bottom style="medium">
        <color indexed="64"/>
      </bottom>
      <diagonal/>
    </border>
    <border>
      <left/>
      <right style="thin">
        <color indexed="64"/>
      </right>
      <top style="medium">
        <color auto="1"/>
      </top>
      <bottom style="thin">
        <color indexed="64"/>
      </bottom>
      <diagonal/>
    </border>
    <border>
      <left style="thick">
        <color theme="4"/>
      </left>
      <right/>
      <top/>
      <bottom style="medium">
        <color theme="1"/>
      </bottom>
      <diagonal/>
    </border>
    <border>
      <left style="thin">
        <color auto="1"/>
      </left>
      <right style="thin">
        <color auto="1"/>
      </right>
      <top/>
      <bottom style="medium">
        <color theme="1"/>
      </bottom>
      <diagonal/>
    </border>
    <border>
      <left style="thick">
        <color theme="4"/>
      </left>
      <right style="thick">
        <color theme="4"/>
      </right>
      <top style="thin">
        <color auto="1"/>
      </top>
      <bottom style="thin">
        <color auto="1"/>
      </bottom>
      <diagonal/>
    </border>
    <border>
      <left style="thick">
        <color theme="4"/>
      </left>
      <right style="thick">
        <color theme="4"/>
      </right>
      <top style="thin">
        <color indexed="64"/>
      </top>
      <bottom style="double">
        <color theme="4"/>
      </bottom>
      <diagonal/>
    </border>
    <border>
      <left style="thick">
        <color theme="4"/>
      </left>
      <right/>
      <top style="thick">
        <color theme="4"/>
      </top>
      <bottom style="thin">
        <color theme="4"/>
      </bottom>
      <diagonal/>
    </border>
    <border>
      <left/>
      <right style="thick">
        <color theme="4"/>
      </right>
      <top style="thick">
        <color theme="4"/>
      </top>
      <bottom style="thin">
        <color theme="4"/>
      </bottom>
      <diagonal/>
    </border>
    <border>
      <left style="thick">
        <color theme="4"/>
      </left>
      <right/>
      <top style="thin">
        <color theme="4"/>
      </top>
      <bottom style="thin">
        <color theme="4"/>
      </bottom>
      <diagonal/>
    </border>
    <border>
      <left/>
      <right style="thick">
        <color theme="4"/>
      </right>
      <top style="thin">
        <color theme="4"/>
      </top>
      <bottom style="thin">
        <color theme="4"/>
      </bottom>
      <diagonal/>
    </border>
    <border>
      <left style="thick">
        <color theme="4"/>
      </left>
      <right/>
      <top style="thin">
        <color theme="4"/>
      </top>
      <bottom style="thick">
        <color theme="4"/>
      </bottom>
      <diagonal/>
    </border>
    <border>
      <left/>
      <right style="thick">
        <color theme="4"/>
      </right>
      <top style="thin">
        <color theme="4"/>
      </top>
      <bottom style="thick">
        <color theme="4"/>
      </bottom>
      <diagonal/>
    </border>
    <border>
      <left/>
      <right/>
      <top style="thick">
        <color theme="4"/>
      </top>
      <bottom style="thin">
        <color theme="4"/>
      </bottom>
      <diagonal/>
    </border>
    <border>
      <left/>
      <right/>
      <top style="thin">
        <color theme="4"/>
      </top>
      <bottom style="thin">
        <color theme="4"/>
      </bottom>
      <diagonal/>
    </border>
    <border>
      <left/>
      <right/>
      <top style="thin">
        <color theme="4"/>
      </top>
      <bottom style="thick">
        <color theme="4"/>
      </bottom>
      <diagonal/>
    </border>
    <border>
      <left style="thick">
        <color theme="8"/>
      </left>
      <right/>
      <top style="thick">
        <color theme="8"/>
      </top>
      <bottom style="thick">
        <color theme="8"/>
      </bottom>
      <diagonal/>
    </border>
    <border>
      <left/>
      <right/>
      <top style="thick">
        <color theme="8"/>
      </top>
      <bottom style="thick">
        <color theme="8"/>
      </bottom>
      <diagonal/>
    </border>
    <border>
      <left/>
      <right style="thick">
        <color theme="8"/>
      </right>
      <top style="thick">
        <color theme="8"/>
      </top>
      <bottom style="thick">
        <color theme="8"/>
      </bottom>
      <diagonal/>
    </border>
    <border>
      <left style="thick">
        <color theme="4"/>
      </left>
      <right/>
      <top/>
      <bottom style="thin">
        <color theme="4"/>
      </bottom>
      <diagonal/>
    </border>
    <border>
      <left/>
      <right style="thick">
        <color theme="4"/>
      </right>
      <top/>
      <bottom style="thin">
        <color theme="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7" fillId="0" borderId="0"/>
    <xf numFmtId="0" fontId="24" fillId="0" borderId="0" applyNumberFormat="0" applyFill="0" applyBorder="0" applyAlignment="0" applyProtection="0"/>
    <xf numFmtId="0" fontId="35" fillId="9"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43" fillId="0" borderId="0" applyNumberFormat="0" applyFill="0" applyBorder="0" applyAlignment="0" applyProtection="0"/>
  </cellStyleXfs>
  <cellXfs count="503">
    <xf numFmtId="0" fontId="0" fillId="0" borderId="0" xfId="0"/>
    <xf numFmtId="0" fontId="4" fillId="0" borderId="0" xfId="0" applyFont="1" applyAlignment="1">
      <alignment vertical="top"/>
    </xf>
    <xf numFmtId="0" fontId="0" fillId="0" borderId="0" xfId="0" applyAlignment="1">
      <alignment vertical="top"/>
    </xf>
    <xf numFmtId="44" fontId="0" fillId="0" borderId="0" xfId="2" applyFont="1" applyAlignment="1">
      <alignment vertical="top"/>
    </xf>
    <xf numFmtId="0" fontId="5" fillId="0" borderId="0" xfId="0" applyFont="1" applyAlignment="1">
      <alignment vertical="top"/>
    </xf>
    <xf numFmtId="0" fontId="0" fillId="4" borderId="0" xfId="0" applyFill="1" applyAlignment="1">
      <alignment vertical="top"/>
    </xf>
    <xf numFmtId="0" fontId="7" fillId="4" borderId="0" xfId="0" applyFont="1" applyFill="1" applyAlignment="1">
      <alignment horizontal="center" vertical="top"/>
    </xf>
    <xf numFmtId="0" fontId="0" fillId="0" borderId="0" xfId="0" applyAlignment="1">
      <alignment vertical="top" wrapText="1"/>
    </xf>
    <xf numFmtId="0" fontId="2" fillId="0" borderId="0" xfId="0" applyFont="1" applyAlignment="1">
      <alignment horizontal="center" vertical="top"/>
    </xf>
    <xf numFmtId="44" fontId="0" fillId="0" borderId="0" xfId="2" applyFont="1" applyFill="1" applyAlignment="1">
      <alignment vertical="top"/>
    </xf>
    <xf numFmtId="0" fontId="6" fillId="0" borderId="0" xfId="0" applyFont="1" applyAlignment="1">
      <alignment vertical="top"/>
    </xf>
    <xf numFmtId="0" fontId="2" fillId="0" borderId="0" xfId="0" applyFont="1" applyAlignment="1">
      <alignment vertical="top"/>
    </xf>
    <xf numFmtId="0" fontId="9" fillId="0" borderId="0" xfId="0" applyFont="1" applyAlignment="1">
      <alignment vertical="top"/>
    </xf>
    <xf numFmtId="0" fontId="12" fillId="0" borderId="0" xfId="0" applyFont="1" applyAlignment="1">
      <alignment vertical="top"/>
    </xf>
    <xf numFmtId="0" fontId="0" fillId="0" borderId="3" xfId="0" applyBorder="1" applyAlignment="1">
      <alignment vertical="top"/>
    </xf>
    <xf numFmtId="2" fontId="6" fillId="0" borderId="0" xfId="0" applyNumberFormat="1" applyFont="1" applyAlignment="1">
      <alignment vertical="top"/>
    </xf>
    <xf numFmtId="0" fontId="0" fillId="0" borderId="0" xfId="0" applyAlignment="1">
      <alignment horizontal="center" vertical="top"/>
    </xf>
    <xf numFmtId="0" fontId="2" fillId="0" borderId="3" xfId="0" applyFont="1" applyBorder="1" applyAlignment="1">
      <alignment horizontal="center" vertical="top"/>
    </xf>
    <xf numFmtId="0" fontId="6" fillId="0" borderId="0" xfId="0" applyFont="1" applyAlignment="1">
      <alignment horizontal="center" vertical="top"/>
    </xf>
    <xf numFmtId="0" fontId="0" fillId="0" borderId="0" xfId="0" applyAlignment="1">
      <alignment horizontal="left" vertical="top"/>
    </xf>
    <xf numFmtId="44" fontId="0" fillId="0" borderId="0" xfId="2" applyFont="1" applyAlignment="1">
      <alignment horizontal="left" vertical="top"/>
    </xf>
    <xf numFmtId="43" fontId="0" fillId="0" borderId="0" xfId="1" applyFont="1" applyAlignment="1">
      <alignment vertical="top"/>
    </xf>
    <xf numFmtId="0" fontId="11" fillId="0" borderId="0" xfId="0" applyFont="1" applyAlignment="1">
      <alignment horizontal="left" vertical="top"/>
    </xf>
    <xf numFmtId="0" fontId="0" fillId="0" borderId="0" xfId="0" applyAlignment="1">
      <alignment horizontal="right" vertical="top"/>
    </xf>
    <xf numFmtId="0" fontId="13" fillId="0" borderId="0" xfId="0" applyFont="1" applyAlignment="1">
      <alignment vertical="top" wrapText="1"/>
    </xf>
    <xf numFmtId="0" fontId="7" fillId="0" borderId="0" xfId="0" applyFont="1" applyAlignment="1">
      <alignment horizontal="left" vertical="top"/>
    </xf>
    <xf numFmtId="0" fontId="7" fillId="0" borderId="0" xfId="0" applyFont="1" applyAlignment="1">
      <alignment vertical="top"/>
    </xf>
    <xf numFmtId="0" fontId="15" fillId="0" borderId="0" xfId="0" applyFont="1" applyAlignment="1">
      <alignment vertical="top" wrapText="1"/>
    </xf>
    <xf numFmtId="44" fontId="7" fillId="0" borderId="0" xfId="2" applyFont="1" applyAlignment="1">
      <alignment vertical="top"/>
    </xf>
    <xf numFmtId="0" fontId="7" fillId="0" borderId="0" xfId="0" applyFont="1" applyAlignment="1">
      <alignment horizontal="center" vertical="top"/>
    </xf>
    <xf numFmtId="0" fontId="7" fillId="2" borderId="6" xfId="0" applyFont="1" applyFill="1" applyBorder="1" applyAlignment="1" applyProtection="1">
      <alignment horizontal="center" vertical="top"/>
      <protection locked="0"/>
    </xf>
    <xf numFmtId="0" fontId="15" fillId="0" borderId="0" xfId="0" applyFont="1" applyAlignment="1">
      <alignment vertical="top"/>
    </xf>
    <xf numFmtId="0" fontId="2" fillId="0" borderId="0" xfId="0" applyFont="1"/>
    <xf numFmtId="0" fontId="0" fillId="2" borderId="0" xfId="0" applyFill="1"/>
    <xf numFmtId="0" fontId="7" fillId="0" borderId="0" xfId="0" applyFont="1" applyAlignment="1">
      <alignment horizontal="left" vertical="top" wrapText="1"/>
    </xf>
    <xf numFmtId="0" fontId="15" fillId="0" borderId="0" xfId="0" applyFont="1" applyAlignment="1">
      <alignment horizontal="center" vertical="top" wrapText="1"/>
    </xf>
    <xf numFmtId="0" fontId="0" fillId="5" borderId="0" xfId="0" applyFill="1" applyAlignment="1">
      <alignment vertical="top"/>
    </xf>
    <xf numFmtId="0" fontId="18" fillId="0" borderId="3" xfId="0" applyFont="1" applyBorder="1" applyAlignment="1">
      <alignment horizontal="center" vertical="top" wrapText="1"/>
    </xf>
    <xf numFmtId="0" fontId="18" fillId="0" borderId="3" xfId="0" applyFont="1" applyBorder="1" applyAlignment="1">
      <alignment horizontal="center" vertical="top"/>
    </xf>
    <xf numFmtId="0" fontId="19" fillId="0" borderId="0" xfId="0" applyFont="1" applyAlignment="1">
      <alignment vertical="top" wrapText="1"/>
    </xf>
    <xf numFmtId="0" fontId="19" fillId="0" borderId="0" xfId="0" applyFont="1" applyAlignment="1">
      <alignment vertical="top"/>
    </xf>
    <xf numFmtId="0" fontId="20" fillId="0" borderId="0" xfId="0" applyFont="1"/>
    <xf numFmtId="0" fontId="0" fillId="0" borderId="0" xfId="0" applyAlignment="1">
      <alignment horizontal="left"/>
    </xf>
    <xf numFmtId="0" fontId="19" fillId="2" borderId="0" xfId="0" applyFont="1" applyFill="1" applyAlignment="1">
      <alignment vertical="top" wrapText="1"/>
    </xf>
    <xf numFmtId="0" fontId="19" fillId="2" borderId="0" xfId="0" applyFont="1" applyFill="1" applyAlignment="1">
      <alignment vertical="top"/>
    </xf>
    <xf numFmtId="44" fontId="7" fillId="0" borderId="0" xfId="2" applyFont="1" applyAlignment="1">
      <alignment horizontal="left" vertical="top"/>
    </xf>
    <xf numFmtId="0" fontId="16" fillId="0" borderId="0" xfId="0" applyFont="1" applyAlignment="1">
      <alignment vertical="top"/>
    </xf>
    <xf numFmtId="0" fontId="21" fillId="0" borderId="0" xfId="0" applyFont="1" applyAlignment="1">
      <alignment vertical="top"/>
    </xf>
    <xf numFmtId="0" fontId="7" fillId="0" borderId="0" xfId="0" applyFont="1" applyAlignment="1">
      <alignment horizontal="right" vertical="top"/>
    </xf>
    <xf numFmtId="0" fontId="0" fillId="4" borderId="0" xfId="0" applyFill="1" applyAlignment="1">
      <alignment horizontal="left" vertical="top"/>
    </xf>
    <xf numFmtId="0" fontId="7" fillId="2" borderId="0" xfId="0" applyFont="1" applyFill="1" applyAlignment="1" applyProtection="1">
      <alignment horizontal="center" vertical="top"/>
      <protection locked="0"/>
    </xf>
    <xf numFmtId="44" fontId="11" fillId="0" borderId="0" xfId="2" applyFont="1" applyFill="1" applyAlignment="1">
      <alignment vertical="top"/>
    </xf>
    <xf numFmtId="44" fontId="6" fillId="0" borderId="0" xfId="2" applyFont="1" applyFill="1" applyAlignment="1">
      <alignment horizontal="center" vertical="top"/>
    </xf>
    <xf numFmtId="2" fontId="6" fillId="0" borderId="0" xfId="0" applyNumberFormat="1" applyFont="1" applyAlignment="1">
      <alignment horizontal="center" vertical="top"/>
    </xf>
    <xf numFmtId="44" fontId="6" fillId="0" borderId="0" xfId="0" applyNumberFormat="1" applyFont="1" applyAlignment="1">
      <alignment horizontal="center" vertical="top"/>
    </xf>
    <xf numFmtId="44" fontId="0" fillId="0" borderId="0" xfId="2" applyFont="1" applyFill="1" applyBorder="1" applyAlignment="1">
      <alignment vertical="top"/>
    </xf>
    <xf numFmtId="44" fontId="2" fillId="0" borderId="0" xfId="2" applyFont="1" applyFill="1" applyBorder="1" applyAlignment="1">
      <alignment horizontal="center" vertical="top"/>
    </xf>
    <xf numFmtId="44" fontId="6" fillId="0" borderId="0" xfId="2" applyFont="1" applyFill="1" applyBorder="1" applyAlignment="1">
      <alignment horizontal="center" vertical="top"/>
    </xf>
    <xf numFmtId="0" fontId="6" fillId="0" borderId="0" xfId="0" applyFont="1" applyAlignment="1">
      <alignment horizontal="left" vertical="top"/>
    </xf>
    <xf numFmtId="0" fontId="0" fillId="0" borderId="12" xfId="0" applyBorder="1" applyAlignment="1">
      <alignment vertical="top"/>
    </xf>
    <xf numFmtId="0" fontId="0" fillId="0" borderId="0" xfId="0" applyAlignment="1" applyProtection="1">
      <alignment vertical="top"/>
      <protection locked="0"/>
    </xf>
    <xf numFmtId="0" fontId="0" fillId="0" borderId="13" xfId="0" applyBorder="1" applyAlignment="1">
      <alignment vertical="top"/>
    </xf>
    <xf numFmtId="0" fontId="2" fillId="0" borderId="12" xfId="0" applyFont="1" applyBorder="1" applyAlignment="1">
      <alignment vertical="top"/>
    </xf>
    <xf numFmtId="0" fontId="2" fillId="0" borderId="3" xfId="0" applyFont="1" applyBorder="1" applyAlignment="1">
      <alignment horizontal="center" vertical="top" wrapText="1"/>
    </xf>
    <xf numFmtId="169" fontId="0" fillId="0" borderId="0" xfId="0" applyNumberFormat="1" applyAlignment="1">
      <alignment horizontal="right" vertical="top"/>
    </xf>
    <xf numFmtId="0" fontId="23" fillId="0" borderId="0" xfId="0" applyFont="1" applyAlignment="1">
      <alignment vertical="top" wrapText="1"/>
    </xf>
    <xf numFmtId="0" fontId="23" fillId="0" borderId="0" xfId="0" applyFont="1" applyAlignment="1">
      <alignment horizontal="center" vertical="top" wrapText="1"/>
    </xf>
    <xf numFmtId="4" fontId="7" fillId="0" borderId="0" xfId="0" applyNumberFormat="1" applyFont="1" applyAlignment="1">
      <alignment horizontal="center" vertical="top"/>
    </xf>
    <xf numFmtId="0" fontId="22" fillId="0" borderId="0" xfId="0" applyFont="1" applyAlignment="1">
      <alignment vertical="top"/>
    </xf>
    <xf numFmtId="0" fontId="23" fillId="0" borderId="0" xfId="0" applyFont="1" applyAlignment="1" applyProtection="1">
      <alignment vertical="top" wrapText="1"/>
      <protection hidden="1"/>
    </xf>
    <xf numFmtId="0" fontId="7" fillId="0" borderId="0" xfId="0" applyFont="1" applyAlignment="1" applyProtection="1">
      <alignment vertical="top"/>
      <protection hidden="1"/>
    </xf>
    <xf numFmtId="0" fontId="27" fillId="0" borderId="0" xfId="0" applyFont="1" applyAlignment="1">
      <alignment vertical="top"/>
    </xf>
    <xf numFmtId="0" fontId="28" fillId="0" borderId="0" xfId="0" applyFont="1" applyAlignment="1">
      <alignment vertical="top"/>
    </xf>
    <xf numFmtId="0" fontId="5" fillId="0" borderId="0" xfId="0" applyFont="1" applyAlignment="1">
      <alignment horizontal="left" vertical="top"/>
    </xf>
    <xf numFmtId="0" fontId="13" fillId="0" borderId="0" xfId="0" applyFont="1" applyAlignment="1">
      <alignment horizontal="center" vertical="top" wrapText="1"/>
    </xf>
    <xf numFmtId="43" fontId="6" fillId="0" borderId="0" xfId="1" applyFont="1" applyFill="1" applyAlignment="1">
      <alignment horizontal="center" vertical="top"/>
    </xf>
    <xf numFmtId="164" fontId="6" fillId="0" borderId="0" xfId="2" applyNumberFormat="1" applyFont="1" applyFill="1" applyAlignment="1" applyProtection="1">
      <alignment horizontal="center" vertical="top"/>
    </xf>
    <xf numFmtId="168" fontId="6" fillId="0" borderId="0" xfId="1" applyNumberFormat="1" applyFont="1" applyFill="1" applyAlignment="1" applyProtection="1">
      <alignment horizontal="center" vertical="top"/>
    </xf>
    <xf numFmtId="10" fontId="0" fillId="0" borderId="0" xfId="3" applyNumberFormat="1" applyFont="1" applyFill="1" applyAlignment="1">
      <alignment horizontal="center" vertical="top"/>
    </xf>
    <xf numFmtId="10" fontId="0" fillId="0" borderId="0" xfId="0" applyNumberFormat="1" applyAlignment="1">
      <alignment horizontal="center" vertical="top"/>
    </xf>
    <xf numFmtId="170" fontId="0" fillId="0" borderId="0" xfId="0" applyNumberFormat="1" applyAlignment="1">
      <alignment horizontal="right" vertical="top"/>
    </xf>
    <xf numFmtId="170" fontId="0" fillId="0" borderId="0" xfId="0" applyNumberFormat="1" applyAlignment="1">
      <alignment vertical="top"/>
    </xf>
    <xf numFmtId="170" fontId="0" fillId="0" borderId="0" xfId="2" applyNumberFormat="1" applyFont="1" applyAlignment="1">
      <alignment vertical="top"/>
    </xf>
    <xf numFmtId="170" fontId="0" fillId="0" borderId="0" xfId="2" applyNumberFormat="1" applyFont="1" applyFill="1" applyAlignment="1">
      <alignment vertical="top"/>
    </xf>
    <xf numFmtId="170" fontId="0" fillId="0" borderId="13" xfId="0" applyNumberFormat="1" applyBorder="1" applyAlignment="1">
      <alignment vertical="top"/>
    </xf>
    <xf numFmtId="170" fontId="0" fillId="0" borderId="0" xfId="0" applyNumberFormat="1" applyAlignment="1">
      <alignment horizontal="left" vertical="top"/>
    </xf>
    <xf numFmtId="165" fontId="6" fillId="0" borderId="0" xfId="2" applyNumberFormat="1" applyFont="1" applyFill="1" applyAlignment="1" applyProtection="1">
      <alignment horizontal="center" vertical="top"/>
    </xf>
    <xf numFmtId="166" fontId="6" fillId="0" borderId="0" xfId="1" applyNumberFormat="1" applyFont="1" applyFill="1" applyAlignment="1" applyProtection="1">
      <alignment horizontal="center" vertical="top"/>
    </xf>
    <xf numFmtId="43" fontId="6" fillId="0" borderId="0" xfId="1" applyFont="1" applyFill="1" applyAlignment="1" applyProtection="1">
      <alignment horizontal="center" vertical="top"/>
    </xf>
    <xf numFmtId="0" fontId="23" fillId="0" borderId="0" xfId="0" applyFont="1" applyAlignment="1">
      <alignment vertical="top"/>
    </xf>
    <xf numFmtId="0" fontId="25" fillId="0" borderId="0" xfId="0" applyFont="1" applyAlignment="1" applyProtection="1">
      <alignment vertical="top" wrapText="1"/>
      <protection hidden="1"/>
    </xf>
    <xf numFmtId="0" fontId="24" fillId="0" borderId="0" xfId="5" applyFill="1" applyAlignment="1" applyProtection="1">
      <alignment vertical="top"/>
      <protection hidden="1"/>
    </xf>
    <xf numFmtId="0" fontId="31" fillId="0" borderId="0" xfId="0" applyFont="1" applyAlignment="1">
      <alignment vertical="top"/>
    </xf>
    <xf numFmtId="0" fontId="0" fillId="0" borderId="0" xfId="0" applyAlignment="1">
      <alignment horizont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top" wrapText="1"/>
    </xf>
    <xf numFmtId="0" fontId="2" fillId="0" borderId="22" xfId="0" applyFont="1" applyBorder="1" applyAlignment="1">
      <alignment vertical="top"/>
    </xf>
    <xf numFmtId="170" fontId="2" fillId="0" borderId="22" xfId="0" applyNumberFormat="1" applyFont="1" applyBorder="1" applyAlignment="1">
      <alignment vertical="top"/>
    </xf>
    <xf numFmtId="0" fontId="9" fillId="0" borderId="22" xfId="0" applyFont="1" applyBorder="1" applyAlignment="1">
      <alignment vertical="top"/>
    </xf>
    <xf numFmtId="0" fontId="9" fillId="0" borderId="24" xfId="0" applyFont="1" applyBorder="1" applyAlignment="1">
      <alignment vertical="top"/>
    </xf>
    <xf numFmtId="170" fontId="9" fillId="0" borderId="23" xfId="0" applyNumberFormat="1" applyFont="1" applyBorder="1" applyAlignment="1">
      <alignment vertical="top"/>
    </xf>
    <xf numFmtId="170" fontId="2" fillId="0" borderId="12" xfId="0" applyNumberFormat="1" applyFont="1" applyBorder="1" applyAlignment="1">
      <alignment vertical="top"/>
    </xf>
    <xf numFmtId="0" fontId="2" fillId="0" borderId="21" xfId="0" applyFont="1" applyBorder="1" applyAlignment="1">
      <alignment vertical="top"/>
    </xf>
    <xf numFmtId="0" fontId="0" fillId="0" borderId="21" xfId="0" applyBorder="1" applyAlignment="1">
      <alignment vertical="top"/>
    </xf>
    <xf numFmtId="0" fontId="0" fillId="0" borderId="21" xfId="0" applyBorder="1" applyAlignment="1">
      <alignment vertical="top" wrapText="1"/>
    </xf>
    <xf numFmtId="170" fontId="0" fillId="0" borderId="21" xfId="0" applyNumberFormat="1" applyBorder="1" applyAlignment="1">
      <alignment vertical="top"/>
    </xf>
    <xf numFmtId="170" fontId="0" fillId="2" borderId="21" xfId="0" applyNumberFormat="1" applyFill="1" applyBorder="1" applyAlignment="1" applyProtection="1">
      <alignment vertical="top"/>
      <protection locked="0"/>
    </xf>
    <xf numFmtId="7" fontId="6" fillId="0" borderId="0" xfId="2" applyNumberFormat="1" applyFont="1" applyFill="1" applyAlignment="1" applyProtection="1">
      <alignment vertical="top"/>
    </xf>
    <xf numFmtId="0" fontId="0" fillId="2" borderId="21" xfId="0" applyFill="1" applyBorder="1" applyAlignment="1" applyProtection="1">
      <alignment vertical="top" wrapText="1"/>
      <protection locked="0"/>
    </xf>
    <xf numFmtId="0" fontId="30" fillId="2" borderId="14" xfId="0" applyFont="1" applyFill="1" applyBorder="1" applyAlignment="1" applyProtection="1">
      <alignment vertical="top" wrapText="1"/>
      <protection locked="0"/>
    </xf>
    <xf numFmtId="0" fontId="30" fillId="2" borderId="14" xfId="0" applyFont="1" applyFill="1" applyBorder="1" applyAlignment="1" applyProtection="1">
      <alignment horizontal="center" vertical="center" wrapText="1"/>
      <protection locked="0"/>
    </xf>
    <xf numFmtId="170" fontId="0" fillId="2" borderId="14" xfId="0" applyNumberFormat="1" applyFill="1" applyBorder="1" applyAlignment="1" applyProtection="1">
      <alignment vertical="center" wrapText="1"/>
      <protection locked="0"/>
    </xf>
    <xf numFmtId="0" fontId="0" fillId="2" borderId="8" xfId="0" applyFill="1" applyBorder="1" applyAlignment="1" applyProtection="1">
      <alignment vertical="top" wrapText="1"/>
      <protection locked="0"/>
    </xf>
    <xf numFmtId="0" fontId="30" fillId="2" borderId="21" xfId="0" applyFont="1" applyFill="1" applyBorder="1" applyAlignment="1" applyProtection="1">
      <alignment vertical="top" wrapText="1"/>
      <protection locked="0"/>
    </xf>
    <xf numFmtId="0" fontId="30" fillId="2" borderId="8" xfId="0" applyFont="1" applyFill="1" applyBorder="1" applyAlignment="1" applyProtection="1">
      <alignment horizontal="center" vertical="center" wrapText="1"/>
      <protection locked="0"/>
    </xf>
    <xf numFmtId="170" fontId="0" fillId="2" borderId="21" xfId="0" applyNumberFormat="1" applyFill="1" applyBorder="1" applyAlignment="1" applyProtection="1">
      <alignment vertical="center" wrapText="1"/>
      <protection locked="0"/>
    </xf>
    <xf numFmtId="0" fontId="0" fillId="4" borderId="11" xfId="0" applyFill="1" applyBorder="1" applyAlignment="1">
      <alignment horizontal="center" vertical="center"/>
    </xf>
    <xf numFmtId="14" fontId="0" fillId="2" borderId="21" xfId="0" applyNumberFormat="1" applyFill="1" applyBorder="1" applyAlignment="1" applyProtection="1">
      <alignment horizontal="center" vertical="top"/>
      <protection locked="0"/>
    </xf>
    <xf numFmtId="0" fontId="0" fillId="2" borderId="21" xfId="0" applyFill="1" applyBorder="1" applyAlignment="1" applyProtection="1">
      <alignment horizontal="left" vertical="top"/>
      <protection locked="0"/>
    </xf>
    <xf numFmtId="3" fontId="0" fillId="2" borderId="21" xfId="0" applyNumberFormat="1" applyFill="1" applyBorder="1" applyAlignment="1" applyProtection="1">
      <alignment horizontal="right" vertical="top"/>
      <protection locked="0"/>
    </xf>
    <xf numFmtId="170" fontId="0" fillId="2" borderId="21" xfId="2" applyNumberFormat="1" applyFont="1" applyFill="1" applyBorder="1" applyAlignment="1" applyProtection="1">
      <alignment horizontal="right" vertical="top"/>
      <protection locked="0"/>
    </xf>
    <xf numFmtId="170" fontId="0" fillId="0" borderId="0" xfId="2" applyNumberFormat="1" applyFont="1" applyBorder="1" applyAlignment="1">
      <alignment horizontal="center" vertical="top"/>
    </xf>
    <xf numFmtId="169" fontId="0" fillId="0" borderId="0" xfId="0" applyNumberFormat="1" applyAlignment="1">
      <alignment horizontal="center" vertical="top"/>
    </xf>
    <xf numFmtId="10" fontId="0" fillId="2" borderId="0" xfId="3" applyNumberFormat="1" applyFont="1" applyFill="1" applyAlignment="1" applyProtection="1">
      <alignment horizontal="center" vertical="top"/>
      <protection locked="0"/>
    </xf>
    <xf numFmtId="4" fontId="6" fillId="0" borderId="0" xfId="0" applyNumberFormat="1" applyFont="1" applyAlignment="1">
      <alignment horizontal="center" vertical="top"/>
    </xf>
    <xf numFmtId="4" fontId="6" fillId="0" borderId="0" xfId="1" applyNumberFormat="1" applyFont="1" applyFill="1" applyAlignment="1">
      <alignment horizontal="center" vertical="top"/>
    </xf>
    <xf numFmtId="170" fontId="0" fillId="2" borderId="0" xfId="0" applyNumberFormat="1" applyFill="1" applyAlignment="1" applyProtection="1">
      <alignment vertical="top"/>
      <protection locked="0"/>
    </xf>
    <xf numFmtId="0" fontId="0" fillId="2" borderId="0" xfId="0" applyFill="1" applyAlignment="1" applyProtection="1">
      <alignment horizontal="center" vertical="top"/>
      <protection locked="0"/>
    </xf>
    <xf numFmtId="0" fontId="13" fillId="0" borderId="13" xfId="0" applyFont="1" applyBorder="1" applyAlignment="1">
      <alignment vertical="top" wrapText="1"/>
    </xf>
    <xf numFmtId="0" fontId="0" fillId="0" borderId="0" xfId="0" applyAlignment="1">
      <alignment horizontal="left" vertical="top" wrapText="1"/>
    </xf>
    <xf numFmtId="170" fontId="6" fillId="0" borderId="0" xfId="0" applyNumberFormat="1" applyFont="1" applyAlignment="1">
      <alignment horizontal="center" vertical="top"/>
    </xf>
    <xf numFmtId="0" fontId="32" fillId="0" borderId="0" xfId="0" applyFont="1" applyAlignment="1">
      <alignment vertical="top"/>
    </xf>
    <xf numFmtId="0" fontId="23" fillId="0" borderId="0" xfId="0" applyFont="1" applyAlignment="1">
      <alignment vertical="center"/>
    </xf>
    <xf numFmtId="0" fontId="24" fillId="0" borderId="0" xfId="5" applyFill="1" applyAlignment="1">
      <alignment vertical="center"/>
    </xf>
    <xf numFmtId="0" fontId="23" fillId="0" borderId="0" xfId="0" applyFont="1" applyAlignment="1">
      <alignment vertical="center" wrapText="1"/>
    </xf>
    <xf numFmtId="170" fontId="0" fillId="2" borderId="0" xfId="0" applyNumberFormat="1" applyFill="1" applyAlignment="1" applyProtection="1">
      <alignment horizontal="center" vertical="top"/>
      <protection locked="0"/>
    </xf>
    <xf numFmtId="0" fontId="2" fillId="0" borderId="22" xfId="0" applyFont="1" applyBorder="1" applyAlignment="1">
      <alignment vertical="top" wrapText="1"/>
    </xf>
    <xf numFmtId="0" fontId="23" fillId="0" borderId="0" xfId="0" applyFont="1" applyAlignment="1">
      <alignment horizontal="left" vertical="top"/>
    </xf>
    <xf numFmtId="0" fontId="2" fillId="0" borderId="5" xfId="0" applyFont="1" applyBorder="1" applyAlignment="1">
      <alignment horizontal="center" vertical="top" wrapText="1"/>
    </xf>
    <xf numFmtId="0" fontId="34" fillId="0" borderId="0" xfId="0" applyFont="1" applyAlignment="1">
      <alignment vertical="top"/>
    </xf>
    <xf numFmtId="170" fontId="0" fillId="2" borderId="21" xfId="2" applyNumberFormat="1" applyFont="1" applyFill="1" applyBorder="1" applyAlignment="1" applyProtection="1">
      <alignment vertical="top"/>
      <protection locked="0"/>
    </xf>
    <xf numFmtId="170" fontId="9" fillId="0" borderId="0" xfId="0" applyNumberFormat="1" applyFont="1" applyAlignment="1">
      <alignment vertical="top"/>
    </xf>
    <xf numFmtId="170" fontId="36" fillId="6" borderId="21" xfId="0" applyNumberFormat="1" applyFont="1" applyFill="1" applyBorder="1" applyAlignment="1">
      <alignment vertical="top"/>
    </xf>
    <xf numFmtId="0" fontId="36" fillId="6" borderId="14" xfId="0" applyFont="1" applyFill="1" applyBorder="1" applyAlignment="1">
      <alignment vertical="top"/>
    </xf>
    <xf numFmtId="0" fontId="36" fillId="6" borderId="8" xfId="0" applyFont="1" applyFill="1" applyBorder="1" applyAlignment="1">
      <alignment vertical="top"/>
    </xf>
    <xf numFmtId="0" fontId="36" fillId="6" borderId="17" xfId="0" applyFont="1" applyFill="1" applyBorder="1" applyAlignment="1">
      <alignment vertical="top"/>
    </xf>
    <xf numFmtId="170" fontId="0" fillId="4" borderId="0" xfId="0" applyNumberFormat="1" applyFill="1" applyAlignment="1">
      <alignment vertical="top"/>
    </xf>
    <xf numFmtId="0" fontId="2" fillId="6" borderId="8" xfId="0" applyFont="1" applyFill="1" applyBorder="1" applyAlignment="1">
      <alignment vertical="top"/>
    </xf>
    <xf numFmtId="0" fontId="2" fillId="6" borderId="17" xfId="0" applyFont="1" applyFill="1" applyBorder="1" applyAlignment="1">
      <alignment vertical="top"/>
    </xf>
    <xf numFmtId="0" fontId="9" fillId="6" borderId="14" xfId="0" applyFont="1" applyFill="1" applyBorder="1" applyAlignment="1">
      <alignment vertical="top"/>
    </xf>
    <xf numFmtId="0" fontId="0" fillId="0" borderId="20" xfId="0" applyBorder="1" applyAlignment="1">
      <alignment vertical="top"/>
    </xf>
    <xf numFmtId="0" fontId="2" fillId="0" borderId="35" xfId="0" applyFont="1" applyBorder="1" applyAlignment="1">
      <alignment vertical="top"/>
    </xf>
    <xf numFmtId="170" fontId="2" fillId="0" borderId="35" xfId="0" applyNumberFormat="1" applyFont="1" applyBorder="1" applyAlignment="1">
      <alignment vertical="top"/>
    </xf>
    <xf numFmtId="0" fontId="30" fillId="2" borderId="21" xfId="0" applyFont="1"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21" xfId="0" applyFill="1" applyBorder="1" applyAlignment="1" applyProtection="1">
      <alignment horizontal="left" vertical="top" wrapText="1"/>
      <protection locked="0"/>
    </xf>
    <xf numFmtId="0" fontId="30" fillId="2" borderId="14" xfId="0" applyFont="1" applyFill="1" applyBorder="1" applyAlignment="1" applyProtection="1">
      <alignment horizontal="left" vertical="top" wrapText="1"/>
      <protection locked="0"/>
    </xf>
    <xf numFmtId="0" fontId="30" fillId="2" borderId="21" xfId="0" applyFont="1" applyFill="1" applyBorder="1" applyAlignment="1">
      <alignment horizontal="left" vertical="center" wrapText="1"/>
    </xf>
    <xf numFmtId="0" fontId="6" fillId="0" borderId="0" xfId="0" applyFont="1" applyAlignment="1">
      <alignment horizontal="center" vertical="center"/>
    </xf>
    <xf numFmtId="0" fontId="0" fillId="0" borderId="13" xfId="0" applyBorder="1" applyAlignment="1">
      <alignment horizontal="center" vertical="center"/>
    </xf>
    <xf numFmtId="170" fontId="0" fillId="2" borderId="8" xfId="0" applyNumberFormat="1" applyFill="1" applyBorder="1" applyAlignment="1" applyProtection="1">
      <alignment vertical="center" wrapText="1"/>
      <protection locked="0"/>
    </xf>
    <xf numFmtId="0" fontId="0" fillId="4" borderId="41" xfId="0" applyFill="1" applyBorder="1" applyAlignment="1">
      <alignment horizontal="center" vertical="center"/>
    </xf>
    <xf numFmtId="0" fontId="0" fillId="4" borderId="42" xfId="0" applyFill="1" applyBorder="1" applyAlignment="1">
      <alignment horizontal="center" vertical="center"/>
    </xf>
    <xf numFmtId="170" fontId="0" fillId="2" borderId="45" xfId="0" applyNumberFormat="1" applyFill="1" applyBorder="1" applyAlignment="1" applyProtection="1">
      <alignment vertical="center" wrapText="1"/>
      <protection locked="0"/>
    </xf>
    <xf numFmtId="170" fontId="0" fillId="2" borderId="46" xfId="0" applyNumberFormat="1" applyFill="1" applyBorder="1" applyAlignment="1" applyProtection="1">
      <alignment vertical="center" wrapText="1"/>
      <protection locked="0"/>
    </xf>
    <xf numFmtId="0" fontId="30" fillId="2" borderId="21" xfId="0" applyFont="1" applyFill="1" applyBorder="1" applyAlignment="1" applyProtection="1">
      <alignment horizontal="left" vertical="top"/>
      <protection locked="0"/>
    </xf>
    <xf numFmtId="0" fontId="0" fillId="0" borderId="21" xfId="0" applyBorder="1" applyAlignment="1">
      <alignment horizontal="center" vertical="top"/>
    </xf>
    <xf numFmtId="0" fontId="30" fillId="0" borderId="21" xfId="0" applyFont="1" applyBorder="1" applyAlignment="1">
      <alignment horizontal="left" vertical="top"/>
    </xf>
    <xf numFmtId="3" fontId="0" fillId="2" borderId="19" xfId="0" applyNumberFormat="1" applyFill="1" applyBorder="1" applyAlignment="1" applyProtection="1">
      <alignment horizontal="right" vertical="top"/>
      <protection locked="0"/>
    </xf>
    <xf numFmtId="170" fontId="9" fillId="0" borderId="51" xfId="0" applyNumberFormat="1" applyFont="1" applyBorder="1" applyAlignment="1">
      <alignment vertical="top"/>
    </xf>
    <xf numFmtId="170" fontId="9" fillId="4" borderId="52" xfId="0" applyNumberFormat="1" applyFont="1" applyFill="1" applyBorder="1" applyAlignment="1">
      <alignment vertical="top"/>
    </xf>
    <xf numFmtId="170" fontId="9" fillId="4" borderId="53" xfId="0" applyNumberFormat="1" applyFont="1" applyFill="1" applyBorder="1" applyAlignment="1">
      <alignment vertical="top"/>
    </xf>
    <xf numFmtId="170" fontId="9" fillId="4" borderId="54" xfId="0" applyNumberFormat="1" applyFont="1" applyFill="1" applyBorder="1" applyAlignment="1">
      <alignment vertical="top"/>
    </xf>
    <xf numFmtId="0" fontId="38" fillId="4" borderId="50" xfId="0" applyFont="1" applyFill="1" applyBorder="1" applyAlignment="1">
      <alignment horizontal="center" vertical="top" wrapText="1"/>
    </xf>
    <xf numFmtId="0" fontId="38" fillId="0" borderId="0" xfId="0" applyFont="1" applyAlignment="1">
      <alignment horizontal="center" vertical="top" wrapText="1"/>
    </xf>
    <xf numFmtId="0" fontId="33" fillId="10" borderId="0" xfId="0" applyFont="1" applyFill="1" applyAlignment="1">
      <alignment horizontal="center" vertical="top"/>
    </xf>
    <xf numFmtId="3" fontId="0" fillId="4" borderId="49" xfId="0" applyNumberFormat="1" applyFill="1" applyBorder="1" applyAlignment="1">
      <alignment horizontal="center" vertical="top"/>
    </xf>
    <xf numFmtId="0" fontId="0" fillId="4" borderId="12" xfId="0" applyFill="1" applyBorder="1" applyAlignment="1">
      <alignment vertical="top"/>
    </xf>
    <xf numFmtId="169" fontId="2" fillId="4" borderId="36" xfId="0" applyNumberFormat="1" applyFont="1" applyFill="1" applyBorder="1" applyAlignment="1">
      <alignment horizontal="center" vertical="top"/>
    </xf>
    <xf numFmtId="170" fontId="0" fillId="0" borderId="0" xfId="0" applyNumberFormat="1" applyAlignment="1">
      <alignment horizontal="center" vertical="top"/>
    </xf>
    <xf numFmtId="170" fontId="0" fillId="2" borderId="17" xfId="0" applyNumberFormat="1" applyFill="1" applyBorder="1" applyAlignment="1" applyProtection="1">
      <alignment vertical="top"/>
      <protection locked="0"/>
    </xf>
    <xf numFmtId="170" fontId="0" fillId="0" borderId="17" xfId="0" applyNumberFormat="1" applyBorder="1" applyAlignment="1">
      <alignment vertical="top"/>
    </xf>
    <xf numFmtId="170" fontId="2" fillId="0" borderId="55" xfId="0" applyNumberFormat="1" applyFont="1" applyBorder="1" applyAlignment="1">
      <alignment vertical="top"/>
    </xf>
    <xf numFmtId="0" fontId="9" fillId="6" borderId="7" xfId="0" applyFont="1" applyFill="1" applyBorder="1" applyAlignment="1">
      <alignment vertical="top"/>
    </xf>
    <xf numFmtId="10" fontId="0" fillId="0" borderId="0" xfId="3" applyNumberFormat="1" applyFont="1" applyBorder="1" applyAlignment="1">
      <alignment vertical="top"/>
    </xf>
    <xf numFmtId="0" fontId="0" fillId="0" borderId="56" xfId="0" applyBorder="1" applyAlignment="1">
      <alignment vertical="top"/>
    </xf>
    <xf numFmtId="0" fontId="0" fillId="0" borderId="57" xfId="0" applyBorder="1" applyAlignment="1">
      <alignment vertical="top"/>
    </xf>
    <xf numFmtId="170" fontId="0" fillId="2" borderId="20" xfId="0" applyNumberFormat="1" applyFill="1" applyBorder="1" applyAlignment="1" applyProtection="1">
      <alignment vertical="top"/>
      <protection locked="0"/>
    </xf>
    <xf numFmtId="170" fontId="0" fillId="2" borderId="16" xfId="0" applyNumberFormat="1" applyFill="1" applyBorder="1" applyAlignment="1" applyProtection="1">
      <alignment vertical="top"/>
      <protection locked="0"/>
    </xf>
    <xf numFmtId="0" fontId="0" fillId="7" borderId="8" xfId="0" applyFill="1" applyBorder="1" applyAlignment="1">
      <alignment vertical="top"/>
    </xf>
    <xf numFmtId="0" fontId="0" fillId="7" borderId="17" xfId="0" applyFill="1" applyBorder="1" applyAlignment="1">
      <alignment vertical="top"/>
    </xf>
    <xf numFmtId="0" fontId="2" fillId="6" borderId="58" xfId="0" applyFont="1" applyFill="1" applyBorder="1" applyAlignment="1">
      <alignment vertical="top"/>
    </xf>
    <xf numFmtId="170" fontId="0" fillId="2" borderId="3" xfId="0" applyNumberFormat="1" applyFill="1" applyBorder="1" applyAlignment="1" applyProtection="1">
      <alignment vertical="center" wrapText="1"/>
      <protection locked="0"/>
    </xf>
    <xf numFmtId="170" fontId="0" fillId="2" borderId="20" xfId="0" applyNumberFormat="1" applyFill="1" applyBorder="1" applyAlignment="1" applyProtection="1">
      <alignment vertical="center" wrapText="1"/>
      <protection locked="0"/>
    </xf>
    <xf numFmtId="0" fontId="0" fillId="0" borderId="20" xfId="0"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4" borderId="43" xfId="0" applyFill="1" applyBorder="1" applyAlignment="1">
      <alignment horizontal="center" vertical="center"/>
    </xf>
    <xf numFmtId="0" fontId="0" fillId="4" borderId="6" xfId="0" applyFill="1" applyBorder="1" applyAlignment="1">
      <alignment horizontal="center" vertical="center"/>
    </xf>
    <xf numFmtId="0" fontId="0" fillId="4" borderId="44" xfId="0" applyFill="1" applyBorder="1" applyAlignment="1">
      <alignment horizontal="center" vertical="center"/>
    </xf>
    <xf numFmtId="0" fontId="0" fillId="0" borderId="3" xfId="0"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10" fontId="7" fillId="7" borderId="56" xfId="6" applyNumberFormat="1" applyFont="1" applyFill="1" applyBorder="1" applyAlignment="1">
      <alignment vertical="top"/>
    </xf>
    <xf numFmtId="10" fontId="1" fillId="7" borderId="56" xfId="6" applyNumberFormat="1" applyFont="1" applyFill="1" applyBorder="1" applyAlignment="1">
      <alignment vertical="top"/>
    </xf>
    <xf numFmtId="0" fontId="0" fillId="2" borderId="0" xfId="0" applyFill="1" applyAlignment="1" applyProtection="1">
      <alignment horizontal="left" vertical="top"/>
      <protection locked="0"/>
    </xf>
    <xf numFmtId="170" fontId="0" fillId="2" borderId="0" xfId="0" applyNumberFormat="1" applyFill="1" applyAlignment="1" applyProtection="1">
      <alignment horizontal="left" vertical="top"/>
      <protection locked="0"/>
    </xf>
    <xf numFmtId="169" fontId="0" fillId="2" borderId="0" xfId="0" applyNumberFormat="1" applyFill="1" applyAlignment="1" applyProtection="1">
      <alignment horizontal="right" vertical="top"/>
      <protection locked="0"/>
    </xf>
    <xf numFmtId="0" fontId="33" fillId="11" borderId="0" xfId="0" applyFont="1" applyFill="1" applyAlignment="1">
      <alignment horizontal="center" vertical="top"/>
    </xf>
    <xf numFmtId="0" fontId="2" fillId="0" borderId="12" xfId="0" applyFont="1" applyBorder="1" applyAlignment="1">
      <alignment vertical="top" wrapText="1"/>
    </xf>
    <xf numFmtId="0" fontId="2" fillId="0" borderId="24" xfId="0" applyFont="1" applyBorder="1" applyAlignment="1">
      <alignment vertical="top" wrapText="1"/>
    </xf>
    <xf numFmtId="0" fontId="0" fillId="0" borderId="24" xfId="0" applyBorder="1" applyAlignment="1">
      <alignment vertical="top"/>
    </xf>
    <xf numFmtId="0" fontId="6" fillId="0" borderId="0" xfId="0" applyFont="1" applyAlignment="1">
      <alignment horizontal="right" vertical="top"/>
    </xf>
    <xf numFmtId="0" fontId="0" fillId="0" borderId="34" xfId="0" applyBorder="1" applyAlignment="1">
      <alignment vertical="top"/>
    </xf>
    <xf numFmtId="170" fontId="0" fillId="0" borderId="34" xfId="0" applyNumberFormat="1" applyBorder="1" applyAlignment="1">
      <alignment vertical="top"/>
    </xf>
    <xf numFmtId="3" fontId="6" fillId="0" borderId="0" xfId="0" applyNumberFormat="1" applyFont="1" applyAlignment="1">
      <alignment horizontal="center" vertical="top"/>
    </xf>
    <xf numFmtId="170" fontId="0" fillId="0" borderId="12" xfId="2" applyNumberFormat="1" applyFont="1" applyBorder="1" applyAlignment="1">
      <alignment horizontal="center" vertical="top"/>
    </xf>
    <xf numFmtId="170" fontId="0" fillId="0" borderId="0" xfId="2" applyNumberFormat="1" applyFont="1" applyAlignment="1">
      <alignment horizontal="center" vertical="top"/>
    </xf>
    <xf numFmtId="170" fontId="0" fillId="0" borderId="0" xfId="2" applyNumberFormat="1" applyFont="1" applyFill="1" applyAlignment="1">
      <alignment horizontal="center" vertical="top"/>
    </xf>
    <xf numFmtId="0" fontId="2" fillId="4" borderId="36" xfId="0" applyFont="1" applyFill="1" applyBorder="1" applyAlignment="1">
      <alignment vertical="top"/>
    </xf>
    <xf numFmtId="171" fontId="2" fillId="4" borderId="37" xfId="0" applyNumberFormat="1" applyFont="1" applyFill="1" applyBorder="1" applyAlignment="1">
      <alignment vertical="top"/>
    </xf>
    <xf numFmtId="170" fontId="2" fillId="4" borderId="38" xfId="0" applyNumberFormat="1" applyFont="1" applyFill="1" applyBorder="1" applyAlignment="1">
      <alignment vertical="top"/>
    </xf>
    <xf numFmtId="0" fontId="40" fillId="4" borderId="50" xfId="0" applyFont="1" applyFill="1" applyBorder="1" applyAlignment="1">
      <alignment horizontal="center" vertical="top" wrapText="1"/>
    </xf>
    <xf numFmtId="7" fontId="0" fillId="0" borderId="0" xfId="0" applyNumberFormat="1"/>
    <xf numFmtId="0" fontId="9" fillId="0" borderId="0" xfId="0" applyFont="1"/>
    <xf numFmtId="10" fontId="0" fillId="0" borderId="0" xfId="3" applyNumberFormat="1" applyFont="1"/>
    <xf numFmtId="10" fontId="0" fillId="0" borderId="0" xfId="3" applyNumberFormat="1" applyFont="1" applyAlignment="1">
      <alignment horizontal="right"/>
    </xf>
    <xf numFmtId="0" fontId="0" fillId="0" borderId="3" xfId="0" applyBorder="1"/>
    <xf numFmtId="0" fontId="2" fillId="0" borderId="3" xfId="0" applyFont="1" applyBorder="1" applyAlignment="1">
      <alignment horizontal="center"/>
    </xf>
    <xf numFmtId="0" fontId="2" fillId="0" borderId="3" xfId="0" applyFont="1" applyBorder="1"/>
    <xf numFmtId="3" fontId="6" fillId="0" borderId="0" xfId="1" applyNumberFormat="1" applyFont="1" applyFill="1" applyAlignment="1">
      <alignment horizontal="center" vertical="top"/>
    </xf>
    <xf numFmtId="170" fontId="0" fillId="0" borderId="3" xfId="0" applyNumberFormat="1" applyBorder="1" applyAlignment="1">
      <alignment vertical="top"/>
    </xf>
    <xf numFmtId="0" fontId="0" fillId="12" borderId="0" xfId="0" applyFill="1" applyAlignment="1">
      <alignment vertical="top"/>
    </xf>
    <xf numFmtId="3" fontId="0" fillId="12" borderId="0" xfId="0" applyNumberFormat="1" applyFill="1" applyAlignment="1">
      <alignment vertical="top"/>
    </xf>
    <xf numFmtId="0" fontId="0" fillId="0" borderId="0" xfId="0" applyAlignment="1">
      <alignment horizontal="right"/>
    </xf>
    <xf numFmtId="0" fontId="26" fillId="0" borderId="0" xfId="0" applyFont="1" applyAlignment="1" applyProtection="1">
      <alignment vertical="top"/>
      <protection hidden="1"/>
    </xf>
    <xf numFmtId="0" fontId="24" fillId="0" borderId="0" xfId="5" applyAlignment="1">
      <alignment vertical="top"/>
    </xf>
    <xf numFmtId="0" fontId="6" fillId="0" borderId="0" xfId="0" applyFont="1" applyAlignment="1">
      <alignment vertical="top" wrapText="1"/>
    </xf>
    <xf numFmtId="0" fontId="16" fillId="0" borderId="0" xfId="0" applyFont="1" applyAlignment="1">
      <alignment horizontal="left" vertical="top"/>
    </xf>
    <xf numFmtId="172" fontId="6" fillId="2" borderId="0" xfId="1" applyNumberFormat="1" applyFont="1" applyFill="1" applyAlignment="1" applyProtection="1">
      <alignment horizontal="center" vertical="top"/>
      <protection locked="0"/>
    </xf>
    <xf numFmtId="0" fontId="0" fillId="4" borderId="3" xfId="0" applyFill="1" applyBorder="1" applyAlignment="1">
      <alignment vertical="top"/>
    </xf>
    <xf numFmtId="0" fontId="0" fillId="5" borderId="3" xfId="0" applyFill="1" applyBorder="1" applyAlignment="1">
      <alignment vertical="top"/>
    </xf>
    <xf numFmtId="10" fontId="2" fillId="0" borderId="0" xfId="3" applyNumberFormat="1" applyFont="1" applyAlignment="1" applyProtection="1">
      <alignment horizontal="center" vertical="top"/>
    </xf>
    <xf numFmtId="0" fontId="0" fillId="5" borderId="0" xfId="0" applyFill="1" applyAlignment="1">
      <alignment horizontal="center" vertical="top"/>
    </xf>
    <xf numFmtId="0" fontId="2" fillId="0" borderId="21" xfId="0" applyFont="1" applyBorder="1" applyAlignment="1">
      <alignment horizontal="center" vertical="top"/>
    </xf>
    <xf numFmtId="0" fontId="0" fillId="2" borderId="21" xfId="0" applyFill="1" applyBorder="1" applyAlignment="1" applyProtection="1">
      <alignment vertical="top"/>
      <protection locked="0"/>
    </xf>
    <xf numFmtId="170" fontId="0" fillId="8" borderId="21" xfId="0" applyNumberFormat="1" applyFill="1" applyBorder="1" applyAlignment="1">
      <alignment vertical="top"/>
    </xf>
    <xf numFmtId="0" fontId="0" fillId="0" borderId="22" xfId="0" applyBorder="1" applyAlignment="1">
      <alignment vertical="top"/>
    </xf>
    <xf numFmtId="170" fontId="0" fillId="0" borderId="22" xfId="0" applyNumberFormat="1" applyBorder="1" applyAlignment="1">
      <alignment vertical="top"/>
    </xf>
    <xf numFmtId="170" fontId="9" fillId="0" borderId="62" xfId="0" applyNumberFormat="1" applyFont="1" applyBorder="1" applyAlignment="1">
      <alignment vertical="top"/>
    </xf>
    <xf numFmtId="0" fontId="40" fillId="4" borderId="49" xfId="0" applyFont="1" applyFill="1" applyBorder="1" applyAlignment="1">
      <alignment horizontal="center" vertical="center" wrapText="1"/>
    </xf>
    <xf numFmtId="170" fontId="0" fillId="2" borderId="61" xfId="0" applyNumberFormat="1" applyFill="1" applyBorder="1" applyAlignment="1" applyProtection="1">
      <alignment vertical="top"/>
      <protection locked="0"/>
    </xf>
    <xf numFmtId="0" fontId="0" fillId="5" borderId="12" xfId="0" applyFill="1" applyBorder="1" applyAlignment="1">
      <alignment vertical="top"/>
    </xf>
    <xf numFmtId="169" fontId="0" fillId="2" borderId="21" xfId="0" applyNumberFormat="1" applyFill="1" applyBorder="1" applyAlignment="1" applyProtection="1">
      <alignment horizontal="right" vertical="top"/>
      <protection locked="0"/>
    </xf>
    <xf numFmtId="170" fontId="2" fillId="0" borderId="0" xfId="0" applyNumberFormat="1" applyFont="1" applyAlignment="1">
      <alignment vertical="top"/>
    </xf>
    <xf numFmtId="170" fontId="0" fillId="2" borderId="0" xfId="0" applyNumberFormat="1" applyFill="1" applyAlignment="1" applyProtection="1">
      <alignment horizontal="right" vertical="top"/>
      <protection locked="0"/>
    </xf>
    <xf numFmtId="0" fontId="6" fillId="4" borderId="0" xfId="0" applyFont="1" applyFill="1" applyAlignment="1">
      <alignment vertical="top"/>
    </xf>
    <xf numFmtId="0" fontId="6" fillId="5" borderId="0" xfId="0" applyFont="1" applyFill="1" applyAlignment="1">
      <alignment vertical="top"/>
    </xf>
    <xf numFmtId="170" fontId="0" fillId="0" borderId="0" xfId="0" applyNumberFormat="1"/>
    <xf numFmtId="0" fontId="0" fillId="0" borderId="12" xfId="0" applyBorder="1"/>
    <xf numFmtId="7" fontId="0" fillId="0" borderId="12" xfId="0" applyNumberFormat="1" applyBorder="1"/>
    <xf numFmtId="0" fontId="6" fillId="0" borderId="0" xfId="0" applyFont="1" applyAlignment="1">
      <alignment horizontal="center"/>
    </xf>
    <xf numFmtId="169" fontId="6" fillId="0" borderId="0" xfId="0" applyNumberFormat="1" applyFont="1" applyAlignment="1">
      <alignment horizontal="center" vertical="top"/>
    </xf>
    <xf numFmtId="169" fontId="6" fillId="2" borderId="0" xfId="1" applyNumberFormat="1" applyFont="1" applyFill="1" applyAlignment="1" applyProtection="1">
      <alignment horizontal="center" vertical="top"/>
      <protection locked="0"/>
    </xf>
    <xf numFmtId="169" fontId="6" fillId="0" borderId="0" xfId="1" applyNumberFormat="1" applyFont="1" applyFill="1" applyAlignment="1">
      <alignment horizontal="center" vertical="top"/>
    </xf>
    <xf numFmtId="169" fontId="0" fillId="0" borderId="0" xfId="1" applyNumberFormat="1" applyFont="1" applyAlignment="1">
      <alignment horizontal="center" vertical="top"/>
    </xf>
    <xf numFmtId="0" fontId="2" fillId="4" borderId="38" xfId="0" applyFont="1" applyFill="1" applyBorder="1" applyAlignment="1">
      <alignment vertical="top"/>
    </xf>
    <xf numFmtId="0" fontId="6" fillId="0" borderId="0" xfId="0" applyFont="1"/>
    <xf numFmtId="170" fontId="6" fillId="0" borderId="0" xfId="0" applyNumberFormat="1" applyFont="1" applyAlignment="1">
      <alignment vertical="top"/>
    </xf>
    <xf numFmtId="170" fontId="6" fillId="0" borderId="0" xfId="2" applyNumberFormat="1" applyFont="1" applyFill="1" applyAlignment="1">
      <alignment horizontal="center" vertical="top"/>
    </xf>
    <xf numFmtId="170" fontId="13" fillId="0" borderId="0" xfId="0" applyNumberFormat="1" applyFont="1" applyAlignment="1">
      <alignment horizontal="center" vertical="top"/>
    </xf>
    <xf numFmtId="3" fontId="0" fillId="0" borderId="0" xfId="0" applyNumberFormat="1"/>
    <xf numFmtId="7" fontId="2" fillId="0" borderId="0" xfId="0" applyNumberFormat="1" applyFont="1"/>
    <xf numFmtId="10" fontId="0" fillId="0" borderId="0" xfId="3" applyNumberFormat="1" applyFont="1" applyFill="1" applyBorder="1" applyAlignment="1">
      <alignment horizontal="right"/>
    </xf>
    <xf numFmtId="10" fontId="0" fillId="0" borderId="0" xfId="3" applyNumberFormat="1" applyFont="1" applyFill="1" applyBorder="1"/>
    <xf numFmtId="170" fontId="2" fillId="0" borderId="0" xfId="0" applyNumberFormat="1" applyFont="1"/>
    <xf numFmtId="44" fontId="0" fillId="0" borderId="0" xfId="0" applyNumberFormat="1" applyAlignment="1">
      <alignment horizontal="right"/>
    </xf>
    <xf numFmtId="170" fontId="6" fillId="0" borderId="0" xfId="0" applyNumberFormat="1" applyFont="1"/>
    <xf numFmtId="0" fontId="0" fillId="4" borderId="63" xfId="0" applyFill="1" applyBorder="1"/>
    <xf numFmtId="0" fontId="0" fillId="4" borderId="65" xfId="0" applyFill="1" applyBorder="1"/>
    <xf numFmtId="0" fontId="0" fillId="4" borderId="67" xfId="0" applyFill="1" applyBorder="1"/>
    <xf numFmtId="0" fontId="0" fillId="4" borderId="64" xfId="0" applyFill="1" applyBorder="1" applyAlignment="1">
      <alignment horizontal="right"/>
    </xf>
    <xf numFmtId="4" fontId="0" fillId="4" borderId="66" xfId="0" applyNumberFormat="1" applyFill="1" applyBorder="1" applyAlignment="1">
      <alignment horizontal="right"/>
    </xf>
    <xf numFmtId="0" fontId="0" fillId="4" borderId="66" xfId="0" applyFill="1" applyBorder="1" applyAlignment="1">
      <alignment horizontal="right"/>
    </xf>
    <xf numFmtId="169" fontId="0" fillId="0" borderId="0" xfId="0" applyNumberFormat="1"/>
    <xf numFmtId="4" fontId="0" fillId="0" borderId="0" xfId="0" applyNumberFormat="1"/>
    <xf numFmtId="4" fontId="0" fillId="0" borderId="0" xfId="0" applyNumberFormat="1" applyAlignment="1">
      <alignment horizontal="center"/>
    </xf>
    <xf numFmtId="169" fontId="0" fillId="4" borderId="70" xfId="0" applyNumberFormat="1" applyFill="1" applyBorder="1"/>
    <xf numFmtId="3" fontId="0" fillId="4" borderId="70" xfId="0" applyNumberFormat="1" applyFill="1" applyBorder="1"/>
    <xf numFmtId="169" fontId="24" fillId="0" borderId="0" xfId="5" applyNumberFormat="1" applyFill="1"/>
    <xf numFmtId="4" fontId="0" fillId="7" borderId="0" xfId="0" applyNumberFormat="1" applyFill="1"/>
    <xf numFmtId="0" fontId="0" fillId="4" borderId="69" xfId="0" applyFill="1" applyBorder="1" applyAlignment="1">
      <alignment horizontal="center"/>
    </xf>
    <xf numFmtId="10" fontId="0" fillId="4" borderId="0" xfId="3" applyNumberFormat="1" applyFont="1" applyFill="1" applyAlignment="1">
      <alignment vertical="top"/>
    </xf>
    <xf numFmtId="10" fontId="7" fillId="0" borderId="56" xfId="6" applyNumberFormat="1" applyFont="1" applyFill="1" applyBorder="1" applyAlignment="1">
      <alignment vertical="top"/>
    </xf>
    <xf numFmtId="0" fontId="30" fillId="0" borderId="0" xfId="0" applyFont="1" applyAlignment="1">
      <alignment vertical="center"/>
    </xf>
    <xf numFmtId="0" fontId="30" fillId="5" borderId="0" xfId="0" applyFont="1" applyFill="1" applyAlignment="1">
      <alignment horizontal="center" vertical="center"/>
    </xf>
    <xf numFmtId="0" fontId="30" fillId="5" borderId="0" xfId="0" applyFont="1" applyFill="1" applyAlignment="1">
      <alignment horizontal="center"/>
    </xf>
    <xf numFmtId="0" fontId="30" fillId="5" borderId="12" xfId="0" applyFont="1" applyFill="1" applyBorder="1" applyAlignment="1">
      <alignment horizontal="center" vertical="top"/>
    </xf>
    <xf numFmtId="0" fontId="6" fillId="7" borderId="8" xfId="0" applyFont="1" applyFill="1" applyBorder="1" applyAlignment="1">
      <alignment vertical="top"/>
    </xf>
    <xf numFmtId="0" fontId="2" fillId="0" borderId="0" xfId="0" applyFont="1" applyAlignment="1">
      <alignment horizontal="left" vertical="top"/>
    </xf>
    <xf numFmtId="166" fontId="6" fillId="0" borderId="0" xfId="1" applyNumberFormat="1" applyFont="1" applyFill="1" applyAlignment="1" applyProtection="1">
      <alignment vertical="top"/>
    </xf>
    <xf numFmtId="0" fontId="0" fillId="2" borderId="0" xfId="0" applyFill="1" applyAlignment="1" applyProtection="1">
      <alignment vertical="top"/>
      <protection locked="0"/>
    </xf>
    <xf numFmtId="0" fontId="0" fillId="6" borderId="0" xfId="0" applyFill="1" applyAlignment="1">
      <alignment vertical="top"/>
    </xf>
    <xf numFmtId="0" fontId="30" fillId="6" borderId="0" xfId="0" applyFont="1" applyFill="1" applyAlignment="1">
      <alignment vertical="center"/>
    </xf>
    <xf numFmtId="0" fontId="30" fillId="6" borderId="0" xfId="0" applyFont="1" applyFill="1" applyAlignment="1">
      <alignment horizontal="center" vertical="center"/>
    </xf>
    <xf numFmtId="0" fontId="30" fillId="6" borderId="0" xfId="0" applyFont="1" applyFill="1"/>
    <xf numFmtId="0" fontId="30" fillId="6" borderId="0" xfId="0" applyFont="1" applyFill="1" applyAlignment="1">
      <alignment horizontal="center"/>
    </xf>
    <xf numFmtId="0" fontId="11" fillId="6" borderId="0" xfId="0" applyFont="1" applyFill="1" applyAlignment="1">
      <alignment vertical="center"/>
    </xf>
    <xf numFmtId="0" fontId="42" fillId="0" borderId="0" xfId="0" applyFont="1"/>
    <xf numFmtId="0" fontId="0" fillId="4" borderId="0" xfId="0" applyFill="1" applyAlignment="1">
      <alignment horizontal="center" vertical="top" wrapText="1"/>
    </xf>
    <xf numFmtId="0" fontId="7" fillId="4" borderId="0" xfId="0" applyFont="1" applyFill="1" applyAlignment="1">
      <alignment horizontal="center" vertical="top" wrapText="1"/>
    </xf>
    <xf numFmtId="0" fontId="0" fillId="0" borderId="1" xfId="0" applyBorder="1" applyAlignment="1">
      <alignment vertical="center"/>
    </xf>
    <xf numFmtId="0" fontId="4"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44" fontId="2" fillId="3" borderId="1" xfId="2" applyFont="1" applyFill="1" applyBorder="1" applyAlignment="1" applyProtection="1">
      <alignment horizontal="center" vertical="center" wrapText="1"/>
    </xf>
    <xf numFmtId="7" fontId="3" fillId="3" borderId="0" xfId="2" applyNumberFormat="1" applyFont="1" applyFill="1" applyAlignment="1" applyProtection="1">
      <alignment vertical="top"/>
    </xf>
    <xf numFmtId="9" fontId="6" fillId="0" borderId="0" xfId="3" applyFont="1" applyFill="1" applyAlignment="1" applyProtection="1">
      <alignment vertical="top"/>
    </xf>
    <xf numFmtId="44" fontId="0" fillId="0" borderId="0" xfId="2" applyFont="1" applyFill="1" applyAlignment="1" applyProtection="1">
      <alignment vertical="top"/>
    </xf>
    <xf numFmtId="7" fontId="0" fillId="0" borderId="0" xfId="2" applyNumberFormat="1" applyFont="1" applyFill="1" applyAlignment="1" applyProtection="1">
      <alignment vertical="top"/>
    </xf>
    <xf numFmtId="167" fontId="6" fillId="0" borderId="0" xfId="3" applyNumberFormat="1" applyFont="1" applyFill="1" applyAlignment="1" applyProtection="1">
      <alignment horizontal="center" vertical="top"/>
    </xf>
    <xf numFmtId="10" fontId="6" fillId="0" borderId="0" xfId="3" applyNumberFormat="1" applyFont="1" applyFill="1" applyAlignment="1" applyProtection="1">
      <alignment horizontal="right" vertical="top"/>
    </xf>
    <xf numFmtId="9" fontId="6" fillId="0" borderId="0" xfId="3" applyFont="1" applyFill="1" applyAlignment="1" applyProtection="1">
      <alignment vertical="top" wrapText="1"/>
    </xf>
    <xf numFmtId="9" fontId="6" fillId="0" borderId="0" xfId="3" applyFont="1" applyFill="1" applyAlignment="1" applyProtection="1">
      <alignment horizontal="center" vertical="top" wrapText="1"/>
    </xf>
    <xf numFmtId="7" fontId="3" fillId="3" borderId="0" xfId="2" applyNumberFormat="1" applyFont="1" applyFill="1" applyBorder="1" applyAlignment="1" applyProtection="1">
      <alignment vertical="top"/>
    </xf>
    <xf numFmtId="164" fontId="0" fillId="0" borderId="0" xfId="2" applyNumberFormat="1" applyFont="1" applyFill="1" applyAlignment="1" applyProtection="1">
      <alignment vertical="top"/>
    </xf>
    <xf numFmtId="0" fontId="8" fillId="0" borderId="0" xfId="0" applyFont="1" applyAlignment="1">
      <alignment vertical="top"/>
    </xf>
    <xf numFmtId="7" fontId="10" fillId="3" borderId="0" xfId="2" applyNumberFormat="1" applyFont="1" applyFill="1" applyAlignment="1" applyProtection="1">
      <alignment vertical="top"/>
    </xf>
    <xf numFmtId="166" fontId="0" fillId="0" borderId="0" xfId="1" applyNumberFormat="1" applyFont="1" applyFill="1" applyAlignment="1" applyProtection="1">
      <alignment vertical="top"/>
    </xf>
    <xf numFmtId="44" fontId="0" fillId="0" borderId="0" xfId="2" applyFont="1" applyAlignment="1" applyProtection="1">
      <alignment vertical="top"/>
    </xf>
    <xf numFmtId="7" fontId="9" fillId="3" borderId="0" xfId="2" applyNumberFormat="1" applyFont="1" applyFill="1" applyAlignment="1" applyProtection="1">
      <alignment vertical="top"/>
    </xf>
    <xf numFmtId="0" fontId="6" fillId="0" borderId="0" xfId="0" applyFont="1" applyAlignment="1">
      <alignment vertical="center"/>
    </xf>
    <xf numFmtId="164" fontId="0" fillId="0" borderId="0" xfId="2" applyNumberFormat="1" applyFont="1" applyFill="1" applyAlignment="1" applyProtection="1">
      <alignment horizontal="center" vertical="top"/>
    </xf>
    <xf numFmtId="166" fontId="0" fillId="0" borderId="0" xfId="1" applyNumberFormat="1" applyFont="1" applyFill="1" applyAlignment="1" applyProtection="1">
      <alignment horizontal="center" vertical="top"/>
    </xf>
    <xf numFmtId="0" fontId="6" fillId="0" borderId="13" xfId="0" applyFont="1" applyBorder="1" applyAlignment="1">
      <alignment horizontal="center" vertical="center"/>
    </xf>
    <xf numFmtId="165" fontId="0" fillId="0" borderId="0" xfId="2" applyNumberFormat="1" applyFont="1" applyFill="1" applyAlignment="1" applyProtection="1">
      <alignment vertical="top"/>
    </xf>
    <xf numFmtId="0" fontId="9" fillId="0" borderId="2" xfId="0" applyFont="1" applyBorder="1" applyAlignment="1">
      <alignment vertical="top"/>
    </xf>
    <xf numFmtId="7" fontId="9" fillId="3" borderId="2" xfId="2" applyNumberFormat="1" applyFont="1" applyFill="1" applyBorder="1" applyAlignment="1" applyProtection="1">
      <alignment vertical="top"/>
    </xf>
    <xf numFmtId="44" fontId="9" fillId="0" borderId="0" xfId="2" applyFont="1" applyAlignment="1" applyProtection="1">
      <alignment vertical="top"/>
    </xf>
    <xf numFmtId="0" fontId="15" fillId="0" borderId="0" xfId="0" applyFont="1" applyAlignment="1">
      <alignment horizontal="left" vertical="top" wrapText="1"/>
    </xf>
    <xf numFmtId="0" fontId="22" fillId="0" borderId="0" xfId="0" applyFont="1" applyAlignment="1">
      <alignment horizontal="left" vertical="top"/>
    </xf>
    <xf numFmtId="0" fontId="15" fillId="0" borderId="0" xfId="0" applyFont="1" applyAlignment="1">
      <alignment horizontal="center" vertical="top"/>
    </xf>
    <xf numFmtId="0" fontId="15" fillId="0" borderId="0" xfId="0" applyFont="1" applyAlignment="1">
      <alignment horizontal="center" vertical="center"/>
    </xf>
    <xf numFmtId="170" fontId="0" fillId="0" borderId="0" xfId="0" applyNumberFormat="1" applyAlignment="1" applyProtection="1">
      <alignment horizontal="left" vertical="top"/>
      <protection locked="0"/>
    </xf>
    <xf numFmtId="0" fontId="44" fillId="0" borderId="0" xfId="0" applyFont="1" applyAlignment="1">
      <alignment vertical="top"/>
    </xf>
    <xf numFmtId="0" fontId="5" fillId="0" borderId="0" xfId="0" applyFont="1" applyAlignment="1">
      <alignment vertical="top" wrapText="1"/>
    </xf>
    <xf numFmtId="4" fontId="7" fillId="0" borderId="0" xfId="0" applyNumberFormat="1" applyFont="1" applyAlignment="1">
      <alignment vertical="top"/>
    </xf>
    <xf numFmtId="0" fontId="44" fillId="0" borderId="0" xfId="0" applyFont="1" applyAlignment="1">
      <alignment horizontal="center" vertical="top"/>
    </xf>
    <xf numFmtId="0" fontId="44" fillId="0" borderId="0" xfId="0" applyFont="1" applyAlignment="1">
      <alignment horizontal="center" vertical="center"/>
    </xf>
    <xf numFmtId="0" fontId="24" fillId="0" borderId="0" xfId="5" applyFill="1" applyBorder="1" applyAlignment="1" applyProtection="1">
      <alignment vertical="top"/>
      <protection hidden="1"/>
    </xf>
    <xf numFmtId="0" fontId="23" fillId="0" borderId="0" xfId="0" applyFont="1" applyAlignment="1" applyProtection="1">
      <alignment horizontal="left" vertical="top" wrapText="1"/>
      <protection hidden="1"/>
    </xf>
    <xf numFmtId="0" fontId="23" fillId="0" borderId="0" xfId="0" applyFont="1" applyAlignment="1" applyProtection="1">
      <alignment vertical="top"/>
      <protection hidden="1"/>
    </xf>
    <xf numFmtId="0" fontId="45" fillId="0" borderId="0" xfId="0" applyFont="1" applyAlignment="1">
      <alignment vertical="top"/>
    </xf>
    <xf numFmtId="0" fontId="46" fillId="0" borderId="0" xfId="0" applyFont="1" applyAlignment="1">
      <alignment horizontal="center" vertical="center"/>
    </xf>
    <xf numFmtId="0" fontId="48" fillId="0" borderId="0" xfId="0" applyFont="1" applyAlignment="1">
      <alignment vertical="top"/>
    </xf>
    <xf numFmtId="0" fontId="47" fillId="0" borderId="0" xfId="0" applyFont="1" applyAlignment="1">
      <alignment vertical="top"/>
    </xf>
    <xf numFmtId="0" fontId="2" fillId="0" borderId="21" xfId="0" applyFont="1" applyBorder="1" applyAlignment="1">
      <alignment horizontal="center" vertical="top" wrapText="1"/>
    </xf>
    <xf numFmtId="170" fontId="0" fillId="13" borderId="21" xfId="0" applyNumberFormat="1" applyFill="1" applyBorder="1" applyAlignment="1">
      <alignment vertical="top"/>
    </xf>
    <xf numFmtId="0" fontId="2" fillId="0" borderId="61" xfId="0" applyFont="1" applyBorder="1" applyAlignment="1">
      <alignment horizontal="center" vertical="top" wrapText="1"/>
    </xf>
    <xf numFmtId="0" fontId="7" fillId="0" borderId="0" xfId="0" applyFont="1" applyAlignment="1">
      <alignment vertical="center"/>
    </xf>
    <xf numFmtId="0" fontId="7" fillId="0" borderId="0" xfId="0" applyFont="1" applyAlignment="1">
      <alignment horizontal="left" vertical="center"/>
    </xf>
    <xf numFmtId="0" fontId="15" fillId="0" borderId="0" xfId="0" applyFont="1" applyAlignment="1">
      <alignment horizontal="left" vertical="top"/>
    </xf>
    <xf numFmtId="0" fontId="50" fillId="0" borderId="0" xfId="0" applyFont="1" applyAlignment="1">
      <alignment horizontal="center" vertical="top"/>
    </xf>
    <xf numFmtId="0" fontId="30" fillId="6" borderId="0" xfId="0" applyFont="1" applyFill="1" applyAlignment="1">
      <alignment vertical="top"/>
    </xf>
    <xf numFmtId="0" fontId="25" fillId="0" borderId="0" xfId="0" applyFont="1" applyAlignment="1">
      <alignment vertical="top"/>
    </xf>
    <xf numFmtId="0" fontId="0" fillId="0" borderId="0" xfId="0" applyAlignment="1">
      <alignment vertical="center"/>
    </xf>
    <xf numFmtId="4" fontId="0" fillId="4" borderId="68" xfId="0" applyNumberFormat="1" applyFill="1" applyBorder="1" applyAlignment="1">
      <alignment horizontal="right"/>
    </xf>
    <xf numFmtId="4" fontId="0" fillId="4" borderId="64" xfId="0" applyNumberFormat="1" applyFill="1" applyBorder="1" applyAlignment="1">
      <alignment horizontal="right"/>
    </xf>
    <xf numFmtId="0" fontId="3" fillId="0" borderId="0" xfId="0" applyFont="1" applyAlignment="1">
      <alignment horizontal="center" vertical="top"/>
    </xf>
    <xf numFmtId="170" fontId="2" fillId="4" borderId="72" xfId="0" applyNumberFormat="1" applyFont="1" applyFill="1" applyBorder="1" applyAlignment="1">
      <alignment vertical="top"/>
    </xf>
    <xf numFmtId="0" fontId="0" fillId="4" borderId="73" xfId="0" applyFill="1" applyBorder="1" applyAlignment="1">
      <alignment vertical="top"/>
    </xf>
    <xf numFmtId="0" fontId="51" fillId="4" borderId="74" xfId="0" applyFont="1" applyFill="1" applyBorder="1" applyAlignment="1">
      <alignment horizontal="center" vertical="center"/>
    </xf>
    <xf numFmtId="0" fontId="0" fillId="4" borderId="64" xfId="0" applyFill="1" applyBorder="1" applyAlignment="1">
      <alignment horizontal="center"/>
    </xf>
    <xf numFmtId="4" fontId="0" fillId="4" borderId="71" xfId="0" applyNumberFormat="1" applyFill="1" applyBorder="1"/>
    <xf numFmtId="4" fontId="0" fillId="4" borderId="68" xfId="0" applyNumberFormat="1" applyFill="1" applyBorder="1"/>
    <xf numFmtId="0" fontId="6" fillId="0" borderId="0" xfId="0" applyFont="1"/>
    <xf numFmtId="0" fontId="34" fillId="0" borderId="0" xfId="0" applyFont="1"/>
    <xf numFmtId="0" fontId="0" fillId="0" borderId="0" xfId="0" applyBorder="1"/>
    <xf numFmtId="0" fontId="0" fillId="4" borderId="75" xfId="0" applyFill="1" applyBorder="1"/>
    <xf numFmtId="0" fontId="0" fillId="4" borderId="76" xfId="0" applyFill="1" applyBorder="1" applyAlignment="1">
      <alignment horizontal="right"/>
    </xf>
    <xf numFmtId="4" fontId="0" fillId="4" borderId="76" xfId="0" applyNumberFormat="1" applyFill="1" applyBorder="1" applyAlignment="1">
      <alignment horizontal="right"/>
    </xf>
    <xf numFmtId="0" fontId="6" fillId="0" borderId="0" xfId="0" applyFont="1"/>
    <xf numFmtId="0" fontId="6" fillId="0" borderId="3" xfId="0" applyFont="1" applyBorder="1"/>
    <xf numFmtId="169" fontId="0" fillId="4" borderId="70" xfId="0" applyNumberFormat="1" applyFill="1" applyBorder="1" applyAlignment="1">
      <alignment horizontal="center"/>
    </xf>
    <xf numFmtId="169" fontId="0" fillId="4" borderId="66" xfId="0" applyNumberFormat="1" applyFill="1" applyBorder="1" applyAlignment="1">
      <alignment horizontal="center"/>
    </xf>
    <xf numFmtId="4" fontId="0" fillId="0" borderId="12" xfId="0" applyNumberFormat="1" applyBorder="1"/>
    <xf numFmtId="4" fontId="0" fillId="0" borderId="3" xfId="0" applyNumberFormat="1" applyBorder="1"/>
    <xf numFmtId="0" fontId="0" fillId="0" borderId="0" xfId="0" applyFill="1" applyBorder="1"/>
    <xf numFmtId="0" fontId="0" fillId="0" borderId="0" xfId="0" applyProtection="1"/>
    <xf numFmtId="0" fontId="6" fillId="0" borderId="0" xfId="0" applyFont="1" applyAlignment="1">
      <alignment horizontal="center" vertical="center"/>
    </xf>
    <xf numFmtId="0" fontId="7" fillId="2" borderId="0" xfId="0" applyFont="1" applyFill="1" applyAlignment="1" applyProtection="1">
      <alignment horizontal="center" vertical="top"/>
      <protection locked="0"/>
    </xf>
    <xf numFmtId="0" fontId="7" fillId="0" borderId="0" xfId="0" applyFont="1" applyAlignment="1" applyProtection="1">
      <alignment horizontal="center" vertical="top"/>
      <protection hidden="1"/>
    </xf>
    <xf numFmtId="0" fontId="7" fillId="2" borderId="0" xfId="0" applyFont="1" applyFill="1" applyAlignment="1" applyProtection="1">
      <alignment horizontal="left" vertical="top" wrapText="1"/>
      <protection locked="0"/>
    </xf>
    <xf numFmtId="0" fontId="7" fillId="2" borderId="0" xfId="0" applyFont="1" applyFill="1" applyAlignment="1" applyProtection="1">
      <alignment horizontal="center" vertical="center"/>
      <protection locked="0"/>
    </xf>
    <xf numFmtId="0" fontId="15" fillId="0" borderId="0" xfId="0" applyFont="1" applyAlignment="1" applyProtection="1">
      <alignment horizontal="center" vertical="center" wrapText="1"/>
      <protection hidden="1"/>
    </xf>
    <xf numFmtId="0" fontId="0" fillId="2" borderId="0" xfId="0" applyFill="1" applyAlignment="1" applyProtection="1">
      <alignment horizontal="center" vertical="center"/>
      <protection locked="0"/>
    </xf>
    <xf numFmtId="0" fontId="0" fillId="0" borderId="0" xfId="0" applyAlignment="1">
      <alignment horizontal="center" textRotation="90" wrapText="1"/>
    </xf>
    <xf numFmtId="0" fontId="22" fillId="0" borderId="0" xfId="0" applyFont="1" applyAlignment="1">
      <alignment horizontal="left" vertical="top"/>
    </xf>
    <xf numFmtId="0" fontId="23" fillId="0" borderId="0" xfId="0" applyFont="1" applyAlignment="1">
      <alignment horizontal="left" vertical="top" wrapText="1"/>
    </xf>
    <xf numFmtId="0" fontId="15" fillId="0" borderId="0" xfId="0" applyFont="1" applyAlignment="1">
      <alignment horizontal="center" vertical="top" wrapText="1"/>
    </xf>
    <xf numFmtId="0" fontId="24" fillId="0" borderId="0" xfId="5" applyFill="1" applyAlignment="1">
      <alignment horizontal="left" vertical="top" wrapText="1"/>
    </xf>
    <xf numFmtId="0" fontId="21" fillId="6" borderId="0" xfId="0" applyFont="1" applyFill="1" applyAlignment="1">
      <alignment horizontal="left" vertical="center"/>
    </xf>
    <xf numFmtId="0" fontId="7" fillId="0" borderId="0" xfId="0" applyFont="1" applyAlignment="1">
      <alignment horizontal="left" vertical="top" wrapText="1"/>
    </xf>
    <xf numFmtId="0" fontId="7" fillId="7" borderId="0" xfId="0" applyFont="1" applyFill="1" applyAlignment="1" applyProtection="1">
      <alignment horizontal="left" vertical="top" wrapText="1"/>
      <protection locked="0"/>
    </xf>
    <xf numFmtId="0" fontId="15" fillId="0" borderId="0" xfId="0" applyFont="1" applyAlignment="1">
      <alignment horizontal="left" vertical="center" wrapText="1"/>
    </xf>
    <xf numFmtId="0" fontId="7" fillId="0" borderId="0" xfId="0" applyFont="1" applyAlignment="1">
      <alignment horizontal="center" vertical="top"/>
    </xf>
    <xf numFmtId="0" fontId="15" fillId="0" borderId="25" xfId="0" applyFont="1" applyBorder="1" applyAlignment="1" applyProtection="1">
      <alignment horizontal="center" vertical="top" wrapText="1"/>
      <protection hidden="1"/>
    </xf>
    <xf numFmtId="0" fontId="15" fillId="0" borderId="9" xfId="0" applyFont="1" applyBorder="1" applyAlignment="1" applyProtection="1">
      <alignment horizontal="center" vertical="top" wrapText="1"/>
      <protection hidden="1"/>
    </xf>
    <xf numFmtId="0" fontId="15" fillId="0" borderId="26" xfId="0" applyFont="1" applyBorder="1" applyAlignment="1" applyProtection="1">
      <alignment horizontal="center" vertical="top" wrapText="1"/>
      <protection hidden="1"/>
    </xf>
    <xf numFmtId="0" fontId="15" fillId="0" borderId="29" xfId="0" applyFont="1" applyBorder="1" applyAlignment="1" applyProtection="1">
      <alignment horizontal="center" vertical="top" wrapText="1"/>
      <protection hidden="1"/>
    </xf>
    <xf numFmtId="0" fontId="15" fillId="0" borderId="13" xfId="0" applyFont="1" applyBorder="1" applyAlignment="1" applyProtection="1">
      <alignment horizontal="center" vertical="top" wrapText="1"/>
      <protection hidden="1"/>
    </xf>
    <xf numFmtId="0" fontId="15" fillId="0" borderId="30" xfId="0" applyFont="1" applyBorder="1" applyAlignment="1" applyProtection="1">
      <alignment horizontal="center" vertical="top" wrapText="1"/>
      <protection hidden="1"/>
    </xf>
    <xf numFmtId="0" fontId="15" fillId="0" borderId="0" xfId="0" applyFont="1" applyAlignment="1">
      <alignment horizontal="center" vertical="center"/>
    </xf>
    <xf numFmtId="0" fontId="15" fillId="0" borderId="0" xfId="0" applyFont="1" applyAlignment="1">
      <alignment horizontal="center" vertical="top"/>
    </xf>
    <xf numFmtId="0" fontId="7" fillId="0" borderId="0" xfId="0" applyFont="1" applyAlignment="1">
      <alignment horizontal="center" vertical="center"/>
    </xf>
    <xf numFmtId="0" fontId="7" fillId="2" borderId="0" xfId="0" applyFont="1" applyFill="1" applyAlignment="1" applyProtection="1">
      <alignment horizontal="left" vertical="top"/>
      <protection locked="0"/>
    </xf>
    <xf numFmtId="170" fontId="7" fillId="2" borderId="0" xfId="1" applyNumberFormat="1" applyFont="1" applyFill="1" applyAlignment="1" applyProtection="1">
      <alignment horizontal="right" vertical="top"/>
      <protection locked="0"/>
    </xf>
    <xf numFmtId="0" fontId="7" fillId="0" borderId="0" xfId="0" applyFont="1" applyAlignment="1">
      <alignment horizontal="left" vertical="top"/>
    </xf>
    <xf numFmtId="0" fontId="16" fillId="2" borderId="0" xfId="0" applyFont="1" applyFill="1" applyAlignment="1" applyProtection="1">
      <alignment horizontal="center" vertical="top"/>
      <protection locked="0"/>
    </xf>
    <xf numFmtId="0" fontId="23" fillId="0" borderId="0" xfId="0" applyFont="1" applyAlignment="1" applyProtection="1">
      <alignment horizontal="left" vertical="top" wrapText="1"/>
      <protection hidden="1"/>
    </xf>
    <xf numFmtId="0" fontId="11" fillId="0" borderId="0" xfId="0" applyFont="1" applyAlignment="1">
      <alignment horizontal="left" vertical="top" wrapText="1"/>
    </xf>
    <xf numFmtId="0" fontId="5" fillId="0" borderId="0" xfId="0" applyFont="1" applyAlignment="1">
      <alignment horizontal="left" vertical="top" wrapText="1"/>
    </xf>
    <xf numFmtId="172" fontId="7" fillId="2" borderId="0" xfId="0" applyNumberFormat="1" applyFont="1" applyFill="1" applyAlignment="1" applyProtection="1">
      <alignment horizontal="right" vertical="top"/>
      <protection locked="0"/>
    </xf>
    <xf numFmtId="170" fontId="7" fillId="2" borderId="0" xfId="0" applyNumberFormat="1" applyFont="1" applyFill="1" applyAlignment="1" applyProtection="1">
      <alignment horizontal="right" vertical="top"/>
      <protection locked="0"/>
    </xf>
    <xf numFmtId="4" fontId="7" fillId="2" borderId="0" xfId="0" applyNumberFormat="1" applyFont="1" applyFill="1" applyAlignment="1" applyProtection="1">
      <alignment horizontal="center" vertical="top"/>
      <protection locked="0"/>
    </xf>
    <xf numFmtId="0" fontId="15" fillId="0" borderId="0" xfId="0" applyFont="1" applyAlignment="1">
      <alignment horizontal="left" vertical="top" wrapText="1"/>
    </xf>
    <xf numFmtId="4" fontId="7" fillId="0" borderId="0" xfId="0" applyNumberFormat="1" applyFont="1" applyAlignment="1">
      <alignment horizontal="center" textRotation="90" wrapText="1"/>
    </xf>
    <xf numFmtId="0" fontId="0" fillId="0" borderId="0" xfId="0" applyAlignment="1">
      <alignment horizontal="center" textRotation="90"/>
    </xf>
    <xf numFmtId="0" fontId="0" fillId="0" borderId="0" xfId="0" applyAlignment="1">
      <alignment horizontal="left" vertical="top"/>
    </xf>
    <xf numFmtId="0" fontId="46" fillId="0" borderId="13" xfId="0" applyFont="1" applyBorder="1" applyAlignment="1">
      <alignment horizontal="center" vertical="center"/>
    </xf>
    <xf numFmtId="0" fontId="0" fillId="0" borderId="0" xfId="0" applyAlignment="1">
      <alignment horizontal="center" vertical="top"/>
    </xf>
    <xf numFmtId="0" fontId="2" fillId="0" borderId="12"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0" fillId="6" borderId="8" xfId="0" applyFill="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4" borderId="39"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5" xfId="0" applyFont="1" applyFill="1" applyBorder="1" applyAlignment="1">
      <alignment horizontal="center" vertical="center" wrapText="1"/>
    </xf>
    <xf numFmtId="0" fontId="2" fillId="4" borderId="40" xfId="0" applyFont="1" applyFill="1" applyBorder="1" applyAlignment="1">
      <alignment horizontal="center" vertical="center"/>
    </xf>
    <xf numFmtId="0" fontId="0" fillId="2" borderId="0" xfId="0" applyFill="1" applyAlignment="1" applyProtection="1">
      <alignment horizontal="left" vertical="top"/>
      <protection locked="0"/>
    </xf>
    <xf numFmtId="0" fontId="7" fillId="0" borderId="31" xfId="0" applyFont="1" applyBorder="1" applyAlignment="1">
      <alignment horizontal="center" vertical="top" wrapText="1"/>
    </xf>
    <xf numFmtId="0" fontId="7" fillId="0" borderId="32" xfId="0" applyFont="1" applyBorder="1" applyAlignment="1">
      <alignment horizontal="center" vertical="top"/>
    </xf>
    <xf numFmtId="0" fontId="7" fillId="0" borderId="33" xfId="0" applyFont="1" applyBorder="1" applyAlignment="1">
      <alignment horizontal="center" vertical="top"/>
    </xf>
    <xf numFmtId="0" fontId="2" fillId="0" borderId="1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wrapText="1"/>
    </xf>
    <xf numFmtId="0" fontId="6" fillId="0" borderId="0" xfId="0" applyFont="1" applyAlignment="1">
      <alignment horizontal="center" vertical="top"/>
    </xf>
    <xf numFmtId="0" fontId="37" fillId="4" borderId="36" xfId="0" applyFont="1" applyFill="1" applyBorder="1" applyAlignment="1">
      <alignment horizontal="center" vertical="top" wrapText="1"/>
    </xf>
    <xf numFmtId="0" fontId="37" fillId="4" borderId="37" xfId="0" applyFont="1" applyFill="1" applyBorder="1" applyAlignment="1">
      <alignment horizontal="center" vertical="top"/>
    </xf>
    <xf numFmtId="0" fontId="37" fillId="4" borderId="38" xfId="0" applyFont="1" applyFill="1" applyBorder="1" applyAlignment="1">
      <alignment horizontal="center" vertical="top"/>
    </xf>
    <xf numFmtId="14" fontId="0" fillId="0" borderId="15" xfId="0" applyNumberFormat="1" applyBorder="1" applyAlignment="1">
      <alignment horizontal="center" vertical="center" wrapText="1"/>
    </xf>
    <xf numFmtId="14" fontId="0" fillId="0" borderId="18" xfId="0" applyNumberFormat="1" applyBorder="1" applyAlignment="1">
      <alignment horizontal="center" vertical="center" wrapText="1"/>
    </xf>
    <xf numFmtId="14" fontId="0" fillId="0" borderId="6" xfId="0" applyNumberFormat="1" applyBorder="1" applyAlignment="1">
      <alignment horizontal="center" vertical="center" wrapText="1"/>
    </xf>
    <xf numFmtId="14" fontId="0" fillId="0" borderId="4" xfId="0" applyNumberFormat="1" applyBorder="1" applyAlignment="1">
      <alignment horizontal="center" vertical="center" wrapText="1"/>
    </xf>
    <xf numFmtId="14" fontId="0" fillId="0" borderId="7" xfId="0" applyNumberFormat="1" applyBorder="1" applyAlignment="1">
      <alignment horizontal="center" vertical="center" wrapText="1"/>
    </xf>
    <xf numFmtId="14" fontId="0" fillId="0" borderId="16" xfId="0" applyNumberFormat="1" applyBorder="1" applyAlignment="1">
      <alignment horizontal="center" vertical="center" wrapText="1"/>
    </xf>
    <xf numFmtId="0" fontId="40" fillId="4" borderId="47" xfId="0" applyFont="1" applyFill="1" applyBorder="1" applyAlignment="1">
      <alignment horizontal="center" vertical="top"/>
    </xf>
    <xf numFmtId="0" fontId="40" fillId="4" borderId="34" xfId="0" applyFont="1" applyFill="1" applyBorder="1" applyAlignment="1">
      <alignment horizontal="center" vertical="top"/>
    </xf>
    <xf numFmtId="0" fontId="40" fillId="4" borderId="48" xfId="0" applyFont="1" applyFill="1" applyBorder="1" applyAlignment="1">
      <alignment horizontal="center" vertical="top"/>
    </xf>
    <xf numFmtId="0" fontId="0" fillId="2" borderId="21" xfId="0" applyFill="1" applyBorder="1" applyAlignment="1" applyProtection="1">
      <alignment horizontal="left" vertical="top"/>
      <protection locked="0"/>
    </xf>
    <xf numFmtId="0" fontId="2" fillId="0" borderId="20" xfId="0" applyFont="1" applyBorder="1" applyAlignment="1">
      <alignment horizontal="center" vertical="top" wrapText="1"/>
    </xf>
    <xf numFmtId="0" fontId="2" fillId="0" borderId="15" xfId="0" applyFont="1" applyBorder="1" applyAlignment="1">
      <alignment horizontal="center" vertical="top"/>
    </xf>
    <xf numFmtId="0" fontId="2" fillId="0" borderId="7" xfId="0" applyFont="1" applyBorder="1" applyAlignment="1">
      <alignment horizontal="center" vertical="top"/>
    </xf>
    <xf numFmtId="0" fontId="2" fillId="0" borderId="15" xfId="0" applyFont="1" applyBorder="1" applyAlignment="1">
      <alignment horizontal="center" vertical="top" wrapText="1"/>
    </xf>
    <xf numFmtId="0" fontId="2" fillId="0" borderId="7" xfId="0" applyFont="1" applyBorder="1" applyAlignment="1">
      <alignment horizontal="center" vertical="top" wrapText="1"/>
    </xf>
    <xf numFmtId="170" fontId="40" fillId="4" borderId="47" xfId="2" applyNumberFormat="1" applyFont="1" applyFill="1" applyBorder="1" applyAlignment="1">
      <alignment horizontal="center" vertical="top" wrapText="1"/>
    </xf>
    <xf numFmtId="170" fontId="40" fillId="4" borderId="48" xfId="2" applyNumberFormat="1" applyFont="1" applyFill="1" applyBorder="1" applyAlignment="1">
      <alignment horizontal="center" vertical="top" wrapText="1"/>
    </xf>
    <xf numFmtId="170" fontId="2" fillId="0" borderId="19" xfId="0" applyNumberFormat="1" applyFont="1" applyBorder="1" applyAlignment="1">
      <alignment horizontal="center" vertical="top" wrapText="1"/>
    </xf>
    <xf numFmtId="170" fontId="2" fillId="0" borderId="20" xfId="0" applyNumberFormat="1" applyFont="1" applyBorder="1" applyAlignment="1">
      <alignment horizontal="center" vertical="top"/>
    </xf>
    <xf numFmtId="0" fontId="6" fillId="0" borderId="25" xfId="0" applyFont="1" applyBorder="1" applyAlignment="1">
      <alignment horizontal="center" vertical="top" wrapText="1"/>
    </xf>
    <xf numFmtId="0" fontId="6" fillId="0" borderId="9" xfId="0" applyFont="1" applyBorder="1" applyAlignment="1">
      <alignment horizontal="center" vertical="top" wrapText="1"/>
    </xf>
    <xf numFmtId="0" fontId="6" fillId="0" borderId="26" xfId="0" applyFont="1" applyBorder="1" applyAlignment="1">
      <alignment horizontal="center" vertical="top" wrapText="1"/>
    </xf>
    <xf numFmtId="0" fontId="6" fillId="0" borderId="27" xfId="0" applyFont="1" applyBorder="1" applyAlignment="1">
      <alignment horizontal="center" vertical="top" wrapText="1"/>
    </xf>
    <xf numFmtId="0" fontId="6" fillId="0" borderId="0" xfId="0" applyFont="1" applyAlignment="1">
      <alignment horizontal="center" vertical="top" wrapText="1"/>
    </xf>
    <xf numFmtId="0" fontId="6" fillId="0" borderId="28" xfId="0" applyFont="1" applyBorder="1" applyAlignment="1">
      <alignment horizontal="center" vertical="top" wrapText="1"/>
    </xf>
    <xf numFmtId="0" fontId="6" fillId="0" borderId="29" xfId="0" applyFont="1" applyBorder="1" applyAlignment="1">
      <alignment horizontal="center" vertical="top" wrapText="1"/>
    </xf>
    <xf numFmtId="0" fontId="6" fillId="0" borderId="13" xfId="0" applyFont="1" applyBorder="1" applyAlignment="1">
      <alignment horizontal="center" vertical="top" wrapText="1"/>
    </xf>
    <xf numFmtId="0" fontId="6" fillId="0" borderId="30" xfId="0" applyFont="1" applyBorder="1" applyAlignment="1">
      <alignment horizontal="center" vertical="top" wrapText="1"/>
    </xf>
    <xf numFmtId="0" fontId="6" fillId="0" borderId="0" xfId="0" applyFont="1" applyAlignment="1">
      <alignment horizontal="center" vertical="center" wrapText="1"/>
    </xf>
    <xf numFmtId="16" fontId="14" fillId="0" borderId="0" xfId="0" applyNumberFormat="1" applyFont="1" applyAlignment="1">
      <alignment horizontal="center" vertical="center" wrapText="1"/>
    </xf>
    <xf numFmtId="16" fontId="14" fillId="0" borderId="0" xfId="0" applyNumberFormat="1" applyFont="1" applyAlignment="1">
      <alignment horizontal="center" wrapText="1"/>
    </xf>
    <xf numFmtId="0" fontId="6" fillId="0" borderId="0" xfId="0" applyFont="1"/>
    <xf numFmtId="9" fontId="6" fillId="0" borderId="0" xfId="3" applyFont="1" applyFill="1" applyAlignment="1" applyProtection="1">
      <alignment horizontal="center" vertical="top" wrapText="1"/>
    </xf>
    <xf numFmtId="0" fontId="6" fillId="0" borderId="0" xfId="0" applyFont="1" applyAlignment="1">
      <alignment horizontal="center" vertical="center"/>
    </xf>
    <xf numFmtId="0" fontId="0" fillId="2" borderId="0" xfId="0" applyFill="1" applyAlignment="1" applyProtection="1">
      <alignment horizontal="left" vertical="top" wrapText="1"/>
      <protection locked="0"/>
    </xf>
    <xf numFmtId="0" fontId="0" fillId="14" borderId="0" xfId="0" applyFill="1" applyAlignment="1">
      <alignment horizontal="center" vertical="center" textRotation="90"/>
    </xf>
    <xf numFmtId="0" fontId="0" fillId="2" borderId="0" xfId="0" applyFill="1" applyAlignment="1" applyProtection="1">
      <alignment horizontal="center" vertical="top"/>
      <protection locked="0"/>
    </xf>
    <xf numFmtId="0" fontId="0" fillId="0" borderId="0" xfId="0" applyAlignment="1">
      <alignment horizontal="left" vertical="top" wrapText="1"/>
    </xf>
    <xf numFmtId="0" fontId="47" fillId="0" borderId="0" xfId="0" applyFont="1" applyAlignment="1">
      <alignment horizontal="left" vertical="top" wrapText="1"/>
    </xf>
    <xf numFmtId="0" fontId="6" fillId="0" borderId="0" xfId="0" applyFont="1" applyAlignment="1">
      <alignment horizontal="left" vertical="top" wrapText="1"/>
    </xf>
    <xf numFmtId="49" fontId="0" fillId="2" borderId="14" xfId="0" applyNumberFormat="1" applyFill="1" applyBorder="1" applyAlignment="1" applyProtection="1">
      <alignment horizontal="center" vertical="top"/>
      <protection locked="0"/>
    </xf>
    <xf numFmtId="49" fontId="0" fillId="2" borderId="8" xfId="0" applyNumberFormat="1" applyFill="1" applyBorder="1" applyAlignment="1" applyProtection="1">
      <alignment horizontal="center" vertical="top"/>
      <protection locked="0"/>
    </xf>
    <xf numFmtId="0" fontId="2" fillId="0" borderId="14" xfId="0" applyFont="1" applyBorder="1" applyAlignment="1">
      <alignment horizontal="center" vertical="top"/>
    </xf>
    <xf numFmtId="0" fontId="2" fillId="0" borderId="8" xfId="0" applyFont="1" applyBorder="1" applyAlignment="1">
      <alignment horizontal="center" vertical="top"/>
    </xf>
  </cellXfs>
  <cellStyles count="10">
    <cellStyle name="Besuchter Hyperlink" xfId="9" builtinId="9" hidden="1"/>
    <cellStyle name="Gut" xfId="6" builtinId="26"/>
    <cellStyle name="Komma" xfId="1" builtinId="3"/>
    <cellStyle name="Komma 2" xfId="7"/>
    <cellStyle name="Link" xfId="5" builtinId="8"/>
    <cellStyle name="Prozent" xfId="3" builtinId="5"/>
    <cellStyle name="Standard" xfId="0" builtinId="0"/>
    <cellStyle name="Standard 2" xfId="4"/>
    <cellStyle name="Währung" xfId="2" builtinId="4"/>
    <cellStyle name="Währung 2" xfId="8"/>
  </cellStyles>
  <dxfs count="597">
    <dxf>
      <font>
        <color rgb="FF9C0006"/>
      </font>
      <fill>
        <patternFill>
          <bgColor rgb="FFFFC7CE"/>
        </patternFill>
      </fill>
    </dxf>
    <dxf>
      <font>
        <color theme="0"/>
      </font>
      <fill>
        <patternFill>
          <bgColor theme="0"/>
        </patternFill>
      </fill>
      <border>
        <left/>
        <right/>
        <top/>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border>
        <left/>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bgColor theme="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right/>
        <top/>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4" tint="0.79998168889431442"/>
      </font>
    </dxf>
    <dxf>
      <font>
        <color theme="4" tint="0.79998168889431442"/>
      </font>
      <border>
        <vertical/>
        <horizontal/>
      </border>
    </dxf>
    <dxf>
      <font>
        <color theme="4" tint="0.79998168889431442"/>
      </font>
      <border>
        <vertical/>
        <horizontal/>
      </border>
    </dxf>
    <dxf>
      <font>
        <color theme="4" tint="0.79998168889431442"/>
      </font>
      <border>
        <vertical/>
        <horizontal/>
      </border>
    </dxf>
    <dxf>
      <font>
        <color theme="4" tint="0.79998168889431442"/>
      </font>
      <border>
        <vertical/>
        <horizontal/>
      </border>
    </dxf>
    <dxf>
      <font>
        <color rgb="FF9C0006"/>
      </font>
      <fill>
        <patternFill>
          <bgColor rgb="FFFFC7CE"/>
        </patternFill>
      </fill>
    </dxf>
    <dxf>
      <font>
        <color rgb="FF006100"/>
      </font>
      <fill>
        <patternFill>
          <bgColor rgb="FFC6EFCE"/>
        </patternFill>
      </fill>
    </dxf>
    <dxf>
      <font>
        <color theme="4" tint="0.79998168889431442"/>
      </font>
      <border>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fill>
        <patternFill>
          <bgColor theme="0"/>
        </patternFill>
      </fill>
      <border>
        <left/>
        <right/>
        <top/>
        <bottom/>
        <vertical/>
        <horizontal/>
      </border>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font>
      <fill>
        <patternFill>
          <fgColor theme="0"/>
          <bgColor theme="0"/>
        </patternFill>
      </fill>
      <border>
        <left/>
        <right/>
        <top/>
        <bottom/>
        <vertical/>
        <horizontal/>
      </border>
    </dxf>
    <dxf>
      <font>
        <color theme="0"/>
      </font>
      <fill>
        <patternFill>
          <fgColor theme="0"/>
        </patternFill>
      </fill>
      <border>
        <left/>
        <right/>
        <top/>
        <bottom/>
        <vertical/>
        <horizontal/>
      </border>
    </dxf>
    <dxf>
      <font>
        <color theme="0"/>
      </font>
      <fill>
        <patternFill>
          <fgColor theme="0"/>
        </patternFill>
      </fill>
      <border>
        <left/>
        <right/>
        <top/>
        <bottom/>
        <vertical/>
        <horizontal/>
      </border>
    </dxf>
    <dxf>
      <font>
        <color theme="0"/>
      </font>
      <fill>
        <patternFill>
          <fgColor theme="0"/>
        </patternFill>
      </fill>
      <border>
        <left/>
        <right/>
        <top/>
        <bottom/>
        <vertical/>
        <horizontal/>
      </border>
    </dxf>
    <dxf>
      <font>
        <color theme="0"/>
      </font>
      <fill>
        <patternFill>
          <fgColor theme="0"/>
        </patternFill>
      </fill>
      <border>
        <left/>
        <right/>
        <top/>
        <bottom/>
        <vertical/>
        <horizontal/>
      </border>
    </dxf>
    <dxf>
      <font>
        <color theme="0"/>
      </font>
      <fill>
        <patternFill>
          <fgColor theme="0"/>
        </patternFill>
      </fill>
      <border>
        <left/>
        <right/>
        <top/>
        <bottom/>
        <vertical/>
        <horizontal/>
      </border>
    </dxf>
    <dxf>
      <font>
        <color theme="0"/>
      </font>
      <fill>
        <patternFill>
          <bgColor theme="0"/>
        </patternFill>
      </fill>
      <border>
        <left/>
        <right/>
        <top/>
        <bottom/>
      </border>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FF7C8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b val="0"/>
        <i/>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color rgb="FF9C0006"/>
      </font>
      <fill>
        <patternFill>
          <bgColor rgb="FFFFC7CE"/>
        </patternFill>
      </fill>
    </dxf>
    <dxf>
      <font>
        <b val="0"/>
        <i/>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36</xdr:row>
      <xdr:rowOff>1</xdr:rowOff>
    </xdr:from>
    <xdr:to>
      <xdr:col>4</xdr:col>
      <xdr:colOff>2561720</xdr:colOff>
      <xdr:row>37</xdr:row>
      <xdr:rowOff>1</xdr:rowOff>
    </xdr:to>
    <xdr:pic>
      <xdr:nvPicPr>
        <xdr:cNvPr id="28" name="Grafik 27">
          <a:extLst>
            <a:ext uri="{FF2B5EF4-FFF2-40B4-BE49-F238E27FC236}">
              <a16:creationId xmlns:a16="http://schemas.microsoft.com/office/drawing/2014/main" id="{00000000-0008-0000-0300-00001C000000}"/>
            </a:ext>
          </a:extLst>
        </xdr:cNvPr>
        <xdr:cNvPicPr>
          <a:picLocks noChangeAspect="1"/>
        </xdr:cNvPicPr>
      </xdr:nvPicPr>
      <xdr:blipFill>
        <a:blip xmlns:r="http://schemas.openxmlformats.org/officeDocument/2006/relationships" r:embed="rId1"/>
        <a:stretch>
          <a:fillRect/>
        </a:stretch>
      </xdr:blipFill>
      <xdr:spPr>
        <a:xfrm>
          <a:off x="3489158" y="7073567"/>
          <a:ext cx="2561720" cy="190500"/>
        </a:xfrm>
        <a:prstGeom prst="rect">
          <a:avLst/>
        </a:prstGeom>
      </xdr:spPr>
    </xdr:pic>
    <xdr:clientData/>
  </xdr:twoCellAnchor>
  <xdr:twoCellAnchor editAs="oneCell">
    <xdr:from>
      <xdr:col>3</xdr:col>
      <xdr:colOff>800100</xdr:colOff>
      <xdr:row>69</xdr:row>
      <xdr:rowOff>0</xdr:rowOff>
    </xdr:from>
    <xdr:to>
      <xdr:col>4</xdr:col>
      <xdr:colOff>2561720</xdr:colOff>
      <xdr:row>70</xdr:row>
      <xdr:rowOff>0</xdr:rowOff>
    </xdr:to>
    <xdr:pic>
      <xdr:nvPicPr>
        <xdr:cNvPr id="29" name="Grafik 28">
          <a:extLst>
            <a:ext uri="{FF2B5EF4-FFF2-40B4-BE49-F238E27FC236}">
              <a16:creationId xmlns:a16="http://schemas.microsoft.com/office/drawing/2014/main" id="{00000000-0008-0000-0300-00001D000000}"/>
            </a:ext>
          </a:extLst>
        </xdr:cNvPr>
        <xdr:cNvPicPr>
          <a:picLocks noChangeAspect="1"/>
        </xdr:cNvPicPr>
      </xdr:nvPicPr>
      <xdr:blipFill>
        <a:blip xmlns:r="http://schemas.openxmlformats.org/officeDocument/2006/relationships" r:embed="rId1"/>
        <a:stretch>
          <a:fillRect/>
        </a:stretch>
      </xdr:blipFill>
      <xdr:spPr>
        <a:xfrm>
          <a:off x="3488871" y="13345886"/>
          <a:ext cx="2561720" cy="190500"/>
        </a:xfrm>
        <a:prstGeom prst="rect">
          <a:avLst/>
        </a:prstGeom>
      </xdr:spPr>
    </xdr:pic>
    <xdr:clientData/>
  </xdr:twoCellAnchor>
  <xdr:twoCellAnchor editAs="oneCell">
    <xdr:from>
      <xdr:col>3</xdr:col>
      <xdr:colOff>800100</xdr:colOff>
      <xdr:row>104</xdr:row>
      <xdr:rowOff>0</xdr:rowOff>
    </xdr:from>
    <xdr:to>
      <xdr:col>4</xdr:col>
      <xdr:colOff>2561720</xdr:colOff>
      <xdr:row>105</xdr:row>
      <xdr:rowOff>0</xdr:rowOff>
    </xdr:to>
    <xdr:pic>
      <xdr:nvPicPr>
        <xdr:cNvPr id="30" name="Grafik 29">
          <a:extLst>
            <a:ext uri="{FF2B5EF4-FFF2-40B4-BE49-F238E27FC236}">
              <a16:creationId xmlns:a16="http://schemas.microsoft.com/office/drawing/2014/main" id="{00000000-0008-0000-0300-00001E000000}"/>
            </a:ext>
          </a:extLst>
        </xdr:cNvPr>
        <xdr:cNvPicPr>
          <a:picLocks noChangeAspect="1"/>
        </xdr:cNvPicPr>
      </xdr:nvPicPr>
      <xdr:blipFill>
        <a:blip xmlns:r="http://schemas.openxmlformats.org/officeDocument/2006/relationships" r:embed="rId1"/>
        <a:stretch>
          <a:fillRect/>
        </a:stretch>
      </xdr:blipFill>
      <xdr:spPr>
        <a:xfrm>
          <a:off x="3488871" y="20133129"/>
          <a:ext cx="2561720" cy="190500"/>
        </a:xfrm>
        <a:prstGeom prst="rect">
          <a:avLst/>
        </a:prstGeom>
      </xdr:spPr>
    </xdr:pic>
    <xdr:clientData/>
  </xdr:twoCellAnchor>
  <xdr:twoCellAnchor editAs="oneCell">
    <xdr:from>
      <xdr:col>3</xdr:col>
      <xdr:colOff>800100</xdr:colOff>
      <xdr:row>137</xdr:row>
      <xdr:rowOff>0</xdr:rowOff>
    </xdr:from>
    <xdr:to>
      <xdr:col>4</xdr:col>
      <xdr:colOff>2561720</xdr:colOff>
      <xdr:row>138</xdr:row>
      <xdr:rowOff>0</xdr:rowOff>
    </xdr:to>
    <xdr:pic>
      <xdr:nvPicPr>
        <xdr:cNvPr id="31" name="Grafik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1"/>
        <a:stretch>
          <a:fillRect/>
        </a:stretch>
      </xdr:blipFill>
      <xdr:spPr>
        <a:xfrm>
          <a:off x="3488871" y="26403300"/>
          <a:ext cx="2561720" cy="190500"/>
        </a:xfrm>
        <a:prstGeom prst="rect">
          <a:avLst/>
        </a:prstGeom>
      </xdr:spPr>
    </xdr:pic>
    <xdr:clientData/>
  </xdr:twoCellAnchor>
  <xdr:twoCellAnchor editAs="oneCell">
    <xdr:from>
      <xdr:col>3</xdr:col>
      <xdr:colOff>800100</xdr:colOff>
      <xdr:row>172</xdr:row>
      <xdr:rowOff>0</xdr:rowOff>
    </xdr:from>
    <xdr:to>
      <xdr:col>4</xdr:col>
      <xdr:colOff>2561720</xdr:colOff>
      <xdr:row>173</xdr:row>
      <xdr:rowOff>0</xdr:rowOff>
    </xdr:to>
    <xdr:pic>
      <xdr:nvPicPr>
        <xdr:cNvPr id="32" name="Grafik 31">
          <a:extLst>
            <a:ext uri="{FF2B5EF4-FFF2-40B4-BE49-F238E27FC236}">
              <a16:creationId xmlns:a16="http://schemas.microsoft.com/office/drawing/2014/main" id="{00000000-0008-0000-0300-000020000000}"/>
            </a:ext>
          </a:extLst>
        </xdr:cNvPr>
        <xdr:cNvPicPr>
          <a:picLocks noChangeAspect="1"/>
        </xdr:cNvPicPr>
      </xdr:nvPicPr>
      <xdr:blipFill>
        <a:blip xmlns:r="http://schemas.openxmlformats.org/officeDocument/2006/relationships" r:embed="rId1"/>
        <a:stretch>
          <a:fillRect/>
        </a:stretch>
      </xdr:blipFill>
      <xdr:spPr>
        <a:xfrm>
          <a:off x="3488871" y="33076243"/>
          <a:ext cx="2561720" cy="190500"/>
        </a:xfrm>
        <a:prstGeom prst="rect">
          <a:avLst/>
        </a:prstGeom>
      </xdr:spPr>
    </xdr:pic>
    <xdr:clientData/>
  </xdr:twoCellAnchor>
  <xdr:twoCellAnchor editAs="oneCell">
    <xdr:from>
      <xdr:col>3</xdr:col>
      <xdr:colOff>800100</xdr:colOff>
      <xdr:row>205</xdr:row>
      <xdr:rowOff>0</xdr:rowOff>
    </xdr:from>
    <xdr:to>
      <xdr:col>4</xdr:col>
      <xdr:colOff>2561720</xdr:colOff>
      <xdr:row>206</xdr:row>
      <xdr:rowOff>0</xdr:rowOff>
    </xdr:to>
    <xdr:pic>
      <xdr:nvPicPr>
        <xdr:cNvPr id="33" name="Grafik 32">
          <a:extLst>
            <a:ext uri="{FF2B5EF4-FFF2-40B4-BE49-F238E27FC236}">
              <a16:creationId xmlns:a16="http://schemas.microsoft.com/office/drawing/2014/main" id="{00000000-0008-0000-0300-000021000000}"/>
            </a:ext>
          </a:extLst>
        </xdr:cNvPr>
        <xdr:cNvPicPr>
          <a:picLocks noChangeAspect="1"/>
        </xdr:cNvPicPr>
      </xdr:nvPicPr>
      <xdr:blipFill>
        <a:blip xmlns:r="http://schemas.openxmlformats.org/officeDocument/2006/relationships" r:embed="rId1"/>
        <a:stretch>
          <a:fillRect/>
        </a:stretch>
      </xdr:blipFill>
      <xdr:spPr>
        <a:xfrm>
          <a:off x="3488871" y="39346414"/>
          <a:ext cx="2561720" cy="190500"/>
        </a:xfrm>
        <a:prstGeom prst="rect">
          <a:avLst/>
        </a:prstGeom>
      </xdr:spPr>
    </xdr:pic>
    <xdr:clientData/>
  </xdr:twoCellAnchor>
  <xdr:twoCellAnchor editAs="oneCell">
    <xdr:from>
      <xdr:col>3</xdr:col>
      <xdr:colOff>800100</xdr:colOff>
      <xdr:row>248</xdr:row>
      <xdr:rowOff>0</xdr:rowOff>
    </xdr:from>
    <xdr:to>
      <xdr:col>4</xdr:col>
      <xdr:colOff>2561720</xdr:colOff>
      <xdr:row>249</xdr:row>
      <xdr:rowOff>0</xdr:rowOff>
    </xdr:to>
    <xdr:pic>
      <xdr:nvPicPr>
        <xdr:cNvPr id="34" name="Grafik 33">
          <a:extLst>
            <a:ext uri="{FF2B5EF4-FFF2-40B4-BE49-F238E27FC236}">
              <a16:creationId xmlns:a16="http://schemas.microsoft.com/office/drawing/2014/main" id="{00000000-0008-0000-0300-000022000000}"/>
            </a:ext>
          </a:extLst>
        </xdr:cNvPr>
        <xdr:cNvPicPr>
          <a:picLocks noChangeAspect="1"/>
        </xdr:cNvPicPr>
      </xdr:nvPicPr>
      <xdr:blipFill>
        <a:blip xmlns:r="http://schemas.openxmlformats.org/officeDocument/2006/relationships" r:embed="rId1"/>
        <a:stretch>
          <a:fillRect/>
        </a:stretch>
      </xdr:blipFill>
      <xdr:spPr>
        <a:xfrm>
          <a:off x="3488871" y="47527029"/>
          <a:ext cx="2561720" cy="190500"/>
        </a:xfrm>
        <a:prstGeom prst="rect">
          <a:avLst/>
        </a:prstGeom>
      </xdr:spPr>
    </xdr:pic>
    <xdr:clientData/>
  </xdr:twoCellAnchor>
  <xdr:twoCellAnchor editAs="oneCell">
    <xdr:from>
      <xdr:col>3</xdr:col>
      <xdr:colOff>800100</xdr:colOff>
      <xdr:row>287</xdr:row>
      <xdr:rowOff>0</xdr:rowOff>
    </xdr:from>
    <xdr:to>
      <xdr:col>4</xdr:col>
      <xdr:colOff>2561720</xdr:colOff>
      <xdr:row>288</xdr:row>
      <xdr:rowOff>0</xdr:rowOff>
    </xdr:to>
    <xdr:pic>
      <xdr:nvPicPr>
        <xdr:cNvPr id="35" name="Grafik 34">
          <a:extLst>
            <a:ext uri="{FF2B5EF4-FFF2-40B4-BE49-F238E27FC236}">
              <a16:creationId xmlns:a16="http://schemas.microsoft.com/office/drawing/2014/main" id="{00000000-0008-0000-0300-000023000000}"/>
            </a:ext>
          </a:extLst>
        </xdr:cNvPr>
        <xdr:cNvPicPr>
          <a:picLocks noChangeAspect="1"/>
        </xdr:cNvPicPr>
      </xdr:nvPicPr>
      <xdr:blipFill>
        <a:blip xmlns:r="http://schemas.openxmlformats.org/officeDocument/2006/relationships" r:embed="rId1"/>
        <a:stretch>
          <a:fillRect/>
        </a:stretch>
      </xdr:blipFill>
      <xdr:spPr>
        <a:xfrm>
          <a:off x="3488871" y="55119814"/>
          <a:ext cx="2561720" cy="190500"/>
        </a:xfrm>
        <a:prstGeom prst="rect">
          <a:avLst/>
        </a:prstGeom>
      </xdr:spPr>
    </xdr:pic>
    <xdr:clientData/>
  </xdr:twoCellAnchor>
  <xdr:twoCellAnchor editAs="oneCell">
    <xdr:from>
      <xdr:col>3</xdr:col>
      <xdr:colOff>800100</xdr:colOff>
      <xdr:row>330</xdr:row>
      <xdr:rowOff>0</xdr:rowOff>
    </xdr:from>
    <xdr:to>
      <xdr:col>4</xdr:col>
      <xdr:colOff>2561720</xdr:colOff>
      <xdr:row>331</xdr:row>
      <xdr:rowOff>0</xdr:rowOff>
    </xdr:to>
    <xdr:pic>
      <xdr:nvPicPr>
        <xdr:cNvPr id="36" name="Grafik 35">
          <a:extLst>
            <a:ext uri="{FF2B5EF4-FFF2-40B4-BE49-F238E27FC236}">
              <a16:creationId xmlns:a16="http://schemas.microsoft.com/office/drawing/2014/main" id="{00000000-0008-0000-0300-000024000000}"/>
            </a:ext>
          </a:extLst>
        </xdr:cNvPr>
        <xdr:cNvPicPr>
          <a:picLocks noChangeAspect="1"/>
        </xdr:cNvPicPr>
      </xdr:nvPicPr>
      <xdr:blipFill>
        <a:blip xmlns:r="http://schemas.openxmlformats.org/officeDocument/2006/relationships" r:embed="rId1"/>
        <a:stretch>
          <a:fillRect/>
        </a:stretch>
      </xdr:blipFill>
      <xdr:spPr>
        <a:xfrm>
          <a:off x="3488871" y="63529029"/>
          <a:ext cx="2561720" cy="190500"/>
        </a:xfrm>
        <a:prstGeom prst="rect">
          <a:avLst/>
        </a:prstGeom>
      </xdr:spPr>
    </xdr:pic>
    <xdr:clientData/>
  </xdr:twoCellAnchor>
  <xdr:twoCellAnchor editAs="oneCell">
    <xdr:from>
      <xdr:col>3</xdr:col>
      <xdr:colOff>800100</xdr:colOff>
      <xdr:row>369</xdr:row>
      <xdr:rowOff>0</xdr:rowOff>
    </xdr:from>
    <xdr:to>
      <xdr:col>4</xdr:col>
      <xdr:colOff>2561720</xdr:colOff>
      <xdr:row>370</xdr:row>
      <xdr:rowOff>0</xdr:rowOff>
    </xdr:to>
    <xdr:pic>
      <xdr:nvPicPr>
        <xdr:cNvPr id="37" name="Grafik 36">
          <a:extLst>
            <a:ext uri="{FF2B5EF4-FFF2-40B4-BE49-F238E27FC236}">
              <a16:creationId xmlns:a16="http://schemas.microsoft.com/office/drawing/2014/main" id="{00000000-0008-0000-0300-000025000000}"/>
            </a:ext>
          </a:extLst>
        </xdr:cNvPr>
        <xdr:cNvPicPr>
          <a:picLocks noChangeAspect="1"/>
        </xdr:cNvPicPr>
      </xdr:nvPicPr>
      <xdr:blipFill>
        <a:blip xmlns:r="http://schemas.openxmlformats.org/officeDocument/2006/relationships" r:embed="rId1"/>
        <a:stretch>
          <a:fillRect/>
        </a:stretch>
      </xdr:blipFill>
      <xdr:spPr>
        <a:xfrm>
          <a:off x="3488871" y="71236114"/>
          <a:ext cx="2561720" cy="190500"/>
        </a:xfrm>
        <a:prstGeom prst="rect">
          <a:avLst/>
        </a:prstGeom>
      </xdr:spPr>
    </xdr:pic>
    <xdr:clientData/>
  </xdr:twoCellAnchor>
  <xdr:twoCellAnchor editAs="oneCell">
    <xdr:from>
      <xdr:col>3</xdr:col>
      <xdr:colOff>800100</xdr:colOff>
      <xdr:row>412</xdr:row>
      <xdr:rowOff>0</xdr:rowOff>
    </xdr:from>
    <xdr:to>
      <xdr:col>4</xdr:col>
      <xdr:colOff>2561720</xdr:colOff>
      <xdr:row>413</xdr:row>
      <xdr:rowOff>0</xdr:rowOff>
    </xdr:to>
    <xdr:pic>
      <xdr:nvPicPr>
        <xdr:cNvPr id="38" name="Grafik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
        <a:stretch>
          <a:fillRect/>
        </a:stretch>
      </xdr:blipFill>
      <xdr:spPr>
        <a:xfrm>
          <a:off x="3488871" y="79634443"/>
          <a:ext cx="2561720" cy="190500"/>
        </a:xfrm>
        <a:prstGeom prst="rect">
          <a:avLst/>
        </a:prstGeom>
      </xdr:spPr>
    </xdr:pic>
    <xdr:clientData/>
  </xdr:twoCellAnchor>
  <xdr:twoCellAnchor editAs="oneCell">
    <xdr:from>
      <xdr:col>3</xdr:col>
      <xdr:colOff>800100</xdr:colOff>
      <xdr:row>451</xdr:row>
      <xdr:rowOff>0</xdr:rowOff>
    </xdr:from>
    <xdr:to>
      <xdr:col>4</xdr:col>
      <xdr:colOff>2561720</xdr:colOff>
      <xdr:row>452</xdr:row>
      <xdr:rowOff>0</xdr:rowOff>
    </xdr:to>
    <xdr:pic>
      <xdr:nvPicPr>
        <xdr:cNvPr id="39" name="Grafik 38">
          <a:extLst>
            <a:ext uri="{FF2B5EF4-FFF2-40B4-BE49-F238E27FC236}">
              <a16:creationId xmlns:a16="http://schemas.microsoft.com/office/drawing/2014/main" id="{00000000-0008-0000-0300-000027000000}"/>
            </a:ext>
          </a:extLst>
        </xdr:cNvPr>
        <xdr:cNvPicPr>
          <a:picLocks noChangeAspect="1"/>
        </xdr:cNvPicPr>
      </xdr:nvPicPr>
      <xdr:blipFill>
        <a:blip xmlns:r="http://schemas.openxmlformats.org/officeDocument/2006/relationships" r:embed="rId1"/>
        <a:stretch>
          <a:fillRect/>
        </a:stretch>
      </xdr:blipFill>
      <xdr:spPr>
        <a:xfrm>
          <a:off x="3488871" y="87341529"/>
          <a:ext cx="2561720" cy="190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2461261</xdr:colOff>
      <xdr:row>17</xdr:row>
      <xdr:rowOff>26670</xdr:rowOff>
    </xdr:from>
    <xdr:to>
      <xdr:col>0</xdr:col>
      <xdr:colOff>4121661</xdr:colOff>
      <xdr:row>17</xdr:row>
      <xdr:rowOff>183311</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2461261" y="3337560"/>
          <a:ext cx="1660400" cy="15664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s.egov.sachsen.de/formserv/findform?shortname=sab60314-1&amp;areashortname=sab" TargetMode="External"/><Relationship Id="rId2" Type="http://schemas.openxmlformats.org/officeDocument/2006/relationships/hyperlink" Target="https://fs.egov.sachsen.de/formserv/findform?shortname=sab60314&amp;areashortname=sab" TargetMode="External"/><Relationship Id="rId1" Type="http://schemas.openxmlformats.org/officeDocument/2006/relationships/hyperlink" Target="https://www.destatis.de/DE/Methoden/Klassifikationen/Gueter-Wirtschaftsklassifikationen/klassifikation-wz-2008.html"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fs.egov.sachsen.de/formserv/findform?shortname=sab60300&amp;areashortname=sab"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s://ag-energiebilanzen.de/energieeinheitenumrechner/"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rgb="FFFFFF00"/>
    <pageSetUpPr fitToPage="1"/>
  </sheetPr>
  <dimension ref="A1:BV118"/>
  <sheetViews>
    <sheetView showGridLines="0" tabSelected="1" zoomScaleNormal="100" workbookViewId="0">
      <selection activeCell="I6" sqref="I6:AN6"/>
    </sheetView>
  </sheetViews>
  <sheetFormatPr baseColWidth="10" defaultColWidth="3" defaultRowHeight="15" x14ac:dyDescent="0.25"/>
  <cols>
    <col min="1" max="1" width="30.28515625" style="2" customWidth="1"/>
    <col min="2" max="14" width="3" style="26" customWidth="1"/>
    <col min="15" max="15" width="3" style="28" customWidth="1"/>
    <col min="16" max="41" width="3" style="26" customWidth="1"/>
    <col min="42" max="42" width="8" style="26" customWidth="1"/>
    <col min="43" max="50" width="3" style="26" customWidth="1"/>
    <col min="51" max="51" width="6.42578125" style="26" customWidth="1"/>
    <col min="52" max="52" width="0.140625" style="26" customWidth="1"/>
    <col min="53" max="53" width="34.5703125" style="26" customWidth="1"/>
    <col min="54" max="55" width="3" style="26" customWidth="1"/>
    <col min="56" max="57" width="9.140625" style="36" hidden="1" customWidth="1"/>
    <col min="58" max="58" width="9.140625" style="6" hidden="1" customWidth="1"/>
    <col min="59" max="59" width="9.140625" style="5" hidden="1" customWidth="1"/>
    <col min="60" max="60" width="7.5703125" style="5" hidden="1" customWidth="1"/>
    <col min="61" max="61" width="11" style="5" hidden="1" customWidth="1"/>
    <col min="62" max="62" width="2.85546875" style="2" customWidth="1"/>
    <col min="63" max="63" width="3" style="2" customWidth="1"/>
    <col min="64" max="64" width="1.7109375" style="2" customWidth="1"/>
    <col min="65" max="65" width="3" style="2"/>
    <col min="66" max="66" width="2.85546875" style="2" customWidth="1"/>
    <col min="67" max="16384" width="3" style="2"/>
  </cols>
  <sheetData>
    <row r="1" spans="1:59" ht="18" customHeight="1" x14ac:dyDescent="0.25">
      <c r="A1" s="71" t="s">
        <v>2244</v>
      </c>
      <c r="B1" s="47"/>
      <c r="C1" s="47"/>
      <c r="D1" s="47"/>
      <c r="E1" s="47"/>
      <c r="F1" s="47"/>
      <c r="G1" s="47"/>
      <c r="H1" s="47"/>
      <c r="AN1" s="48" t="s">
        <v>2274</v>
      </c>
      <c r="BD1" s="248" t="s">
        <v>2053</v>
      </c>
    </row>
    <row r="2" spans="1:59" ht="6.95" customHeight="1" thickBot="1" x14ac:dyDescent="0.3">
      <c r="A2" s="4"/>
    </row>
    <row r="3" spans="1:59" x14ac:dyDescent="0.25">
      <c r="A3" s="4"/>
      <c r="B3" s="411" t="s">
        <v>2268</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3"/>
      <c r="AQ3" s="46" t="s">
        <v>2017</v>
      </c>
    </row>
    <row r="4" spans="1:59" ht="32.25" customHeight="1" thickBot="1" x14ac:dyDescent="0.3">
      <c r="A4" s="4"/>
      <c r="B4" s="414"/>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AK4" s="415"/>
      <c r="AL4" s="415"/>
      <c r="AM4" s="415"/>
      <c r="AN4" s="416"/>
    </row>
    <row r="5" spans="1:59" ht="15.75" x14ac:dyDescent="0.25">
      <c r="A5" s="72"/>
      <c r="O5" s="26"/>
    </row>
    <row r="6" spans="1:59" ht="36.75" customHeight="1" x14ac:dyDescent="0.25">
      <c r="A6" s="4"/>
      <c r="B6" s="407" t="s">
        <v>1902</v>
      </c>
      <c r="C6" s="407"/>
      <c r="D6" s="407"/>
      <c r="E6" s="407"/>
      <c r="F6" s="407"/>
      <c r="G6" s="40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Q6" s="417" t="str">
        <f>IF(BD6=1,"Bitte Dateneingabe vornehmen","")</f>
        <v>Bitte Dateneingabe vornehmen</v>
      </c>
      <c r="AR6" s="417"/>
      <c r="AS6" s="417"/>
      <c r="AT6" s="417"/>
      <c r="AU6" s="417"/>
      <c r="AV6" s="417"/>
      <c r="AW6" s="417"/>
      <c r="AX6" s="417"/>
      <c r="AY6" s="417"/>
      <c r="AZ6" s="417"/>
      <c r="BD6" s="36">
        <f>IF(I6="",1,0)</f>
        <v>1</v>
      </c>
    </row>
    <row r="7" spans="1:59" ht="6.95" customHeight="1" x14ac:dyDescent="0.25">
      <c r="A7" s="4"/>
      <c r="I7" s="35"/>
      <c r="J7" s="35"/>
      <c r="K7" s="35"/>
      <c r="O7" s="26"/>
    </row>
    <row r="8" spans="1:59" x14ac:dyDescent="0.25">
      <c r="A8" s="4"/>
      <c r="I8" s="34"/>
      <c r="J8" s="34"/>
      <c r="K8" s="34"/>
    </row>
    <row r="9" spans="1:59" ht="15" customHeight="1" x14ac:dyDescent="0.25">
      <c r="A9" s="4" t="s">
        <v>58</v>
      </c>
      <c r="B9" s="26" t="s">
        <v>61</v>
      </c>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Q9" s="403" t="s">
        <v>2169</v>
      </c>
      <c r="AR9" s="403"/>
      <c r="AS9" s="403"/>
      <c r="AT9" s="403"/>
      <c r="AU9" s="403"/>
      <c r="AV9" s="403"/>
      <c r="AW9" s="403"/>
      <c r="AX9" s="403"/>
      <c r="AY9" s="403"/>
      <c r="AZ9" s="403"/>
      <c r="BA9" s="403"/>
      <c r="BF9" s="6">
        <f>IF(ISERROR(BI9),0,1)</f>
        <v>1</v>
      </c>
      <c r="BG9" s="5">
        <f>I9</f>
        <v>0</v>
      </c>
    </row>
    <row r="10" spans="1:59" ht="6.95" customHeight="1" x14ac:dyDescent="0.25">
      <c r="A10" s="4"/>
      <c r="I10" s="34"/>
      <c r="J10" s="34"/>
      <c r="K10" s="25"/>
      <c r="L10" s="25"/>
      <c r="M10" s="25"/>
      <c r="N10" s="25"/>
      <c r="O10" s="4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Q10" s="403"/>
      <c r="AR10" s="403"/>
      <c r="AS10" s="403"/>
      <c r="AT10" s="403"/>
      <c r="AU10" s="403"/>
      <c r="AV10" s="403"/>
      <c r="AW10" s="403"/>
      <c r="AX10" s="403"/>
      <c r="AY10" s="403"/>
      <c r="AZ10" s="403"/>
      <c r="BA10" s="403"/>
    </row>
    <row r="11" spans="1:59" x14ac:dyDescent="0.25">
      <c r="A11" s="4"/>
      <c r="B11" s="26" t="s">
        <v>365</v>
      </c>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Q11" s="403"/>
      <c r="AR11" s="403"/>
      <c r="AS11" s="403"/>
      <c r="AT11" s="403"/>
      <c r="AU11" s="403"/>
      <c r="AV11" s="403"/>
      <c r="AW11" s="403"/>
      <c r="AX11" s="403"/>
      <c r="AY11" s="403"/>
      <c r="AZ11" s="403"/>
      <c r="BA11" s="403"/>
    </row>
    <row r="12" spans="1:59" ht="6.95" customHeight="1" x14ac:dyDescent="0.25">
      <c r="A12" s="4"/>
      <c r="I12" s="34"/>
      <c r="J12" s="34"/>
      <c r="K12" s="25"/>
      <c r="L12" s="25"/>
      <c r="M12" s="25"/>
      <c r="N12" s="25"/>
      <c r="O12" s="4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Q12" s="65"/>
      <c r="AR12" s="65"/>
      <c r="AS12" s="65"/>
      <c r="AT12" s="65"/>
      <c r="AU12" s="65"/>
      <c r="AV12" s="65"/>
      <c r="AW12" s="65"/>
      <c r="AX12" s="65"/>
      <c r="AY12" s="65"/>
      <c r="AZ12" s="65"/>
      <c r="BA12" s="65"/>
    </row>
    <row r="13" spans="1:59" x14ac:dyDescent="0.25">
      <c r="A13" s="4"/>
      <c r="B13" s="26" t="s">
        <v>63</v>
      </c>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Q13" s="403" t="s">
        <v>1983</v>
      </c>
      <c r="AR13" s="403"/>
      <c r="AS13" s="403"/>
      <c r="AT13" s="403"/>
      <c r="AU13" s="403"/>
      <c r="AV13" s="403"/>
      <c r="AW13" s="403"/>
      <c r="AX13" s="403"/>
      <c r="AY13" s="403"/>
      <c r="AZ13" s="403"/>
      <c r="BA13" s="403"/>
    </row>
    <row r="14" spans="1:59" ht="6.95" customHeight="1" x14ac:dyDescent="0.25">
      <c r="A14" s="4"/>
      <c r="I14" s="34"/>
      <c r="J14" s="34"/>
      <c r="K14" s="25"/>
      <c r="L14" s="25"/>
      <c r="M14" s="25"/>
      <c r="N14" s="25"/>
      <c r="O14" s="4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Q14" s="405" t="s">
        <v>1946</v>
      </c>
      <c r="AR14" s="405"/>
      <c r="AS14" s="405"/>
      <c r="AT14" s="405"/>
      <c r="AU14" s="405"/>
      <c r="AV14" s="405"/>
      <c r="AW14" s="405"/>
      <c r="AX14" s="405"/>
      <c r="AY14" s="405"/>
      <c r="AZ14" s="405"/>
      <c r="BA14" s="405"/>
    </row>
    <row r="15" spans="1:59" ht="15" customHeight="1" x14ac:dyDescent="0.25">
      <c r="A15" s="4"/>
      <c r="B15" s="26" t="s">
        <v>64</v>
      </c>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Q15" s="405"/>
      <c r="AR15" s="405"/>
      <c r="AS15" s="405"/>
      <c r="AT15" s="405"/>
      <c r="AU15" s="405"/>
      <c r="AV15" s="405"/>
      <c r="AW15" s="405"/>
      <c r="AX15" s="405"/>
      <c r="AY15" s="405"/>
      <c r="AZ15" s="405"/>
      <c r="BA15" s="405"/>
    </row>
    <row r="16" spans="1:59" ht="6.95" customHeight="1" x14ac:dyDescent="0.25">
      <c r="A16" s="4"/>
      <c r="I16" s="34"/>
      <c r="J16" s="34"/>
      <c r="K16" s="25"/>
      <c r="L16" s="25"/>
      <c r="M16" s="25"/>
      <c r="N16" s="25"/>
      <c r="O16" s="4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Q16" s="65"/>
      <c r="AR16" s="65"/>
      <c r="AS16" s="65"/>
      <c r="AT16" s="65"/>
      <c r="AU16" s="65"/>
      <c r="AV16" s="65"/>
      <c r="AW16" s="65"/>
      <c r="AX16" s="65"/>
      <c r="AY16" s="65"/>
      <c r="AZ16" s="65"/>
      <c r="BA16" s="65"/>
    </row>
    <row r="17" spans="1:59" x14ac:dyDescent="0.25">
      <c r="A17" s="4"/>
      <c r="B17" s="26" t="s">
        <v>1063</v>
      </c>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Q17" s="65"/>
      <c r="AR17" s="65"/>
      <c r="AS17" s="65"/>
      <c r="AT17" s="65"/>
      <c r="AU17" s="65"/>
      <c r="AV17" s="65"/>
      <c r="AW17" s="65"/>
      <c r="AX17" s="65"/>
      <c r="AY17" s="65"/>
      <c r="AZ17" s="65"/>
      <c r="BA17" s="65"/>
      <c r="BF17" s="5">
        <f>IF(I17="",0,1)</f>
        <v>0</v>
      </c>
    </row>
    <row r="18" spans="1:59" ht="6.95" customHeight="1" x14ac:dyDescent="0.25">
      <c r="A18" s="4"/>
      <c r="O18" s="26"/>
      <c r="AQ18" s="65"/>
      <c r="AR18" s="65"/>
      <c r="AS18" s="65"/>
      <c r="AT18" s="65"/>
      <c r="AU18" s="65"/>
      <c r="AV18" s="65"/>
      <c r="AW18" s="65"/>
      <c r="AX18" s="65"/>
      <c r="AY18" s="65"/>
      <c r="AZ18" s="65"/>
      <c r="BF18" s="5"/>
    </row>
    <row r="19" spans="1:59" x14ac:dyDescent="0.25">
      <c r="A19" s="4"/>
      <c r="B19" s="26" t="s">
        <v>67</v>
      </c>
      <c r="I19" s="406"/>
      <c r="J19" s="406" t="str">
        <f>IF(BF17=1,MID(I17,1,7),"")</f>
        <v/>
      </c>
      <c r="K19" s="406"/>
      <c r="L19" s="406"/>
      <c r="M19" s="406"/>
      <c r="O19" s="51" t="s">
        <v>1896</v>
      </c>
      <c r="R19" s="26" t="s">
        <v>1897</v>
      </c>
      <c r="Y19" s="50"/>
      <c r="Z19" s="30"/>
      <c r="AA19" s="29" t="s">
        <v>66</v>
      </c>
      <c r="AB19" s="50"/>
      <c r="AC19" s="30"/>
      <c r="AD19" s="29" t="s">
        <v>66</v>
      </c>
      <c r="AE19" s="50"/>
      <c r="AG19" s="26" t="s">
        <v>2172</v>
      </c>
      <c r="AQ19" s="418" t="str">
        <f>IF(BD19=1,"Bitte Dateneingabe vornehmen","")</f>
        <v>Bitte Dateneingabe vornehmen</v>
      </c>
      <c r="AR19" s="418"/>
      <c r="AS19" s="418"/>
      <c r="AT19" s="418"/>
      <c r="AU19" s="418"/>
      <c r="AV19" s="418"/>
      <c r="AW19" s="418"/>
      <c r="AX19" s="418"/>
      <c r="AY19" s="418"/>
      <c r="AZ19" s="418"/>
      <c r="BD19" s="36">
        <f>IF(AND(J19="",AE19=""),1,0)</f>
        <v>1</v>
      </c>
      <c r="BF19" s="5"/>
      <c r="BG19" s="5" t="str">
        <f>CONCATENATE(Y19,Z19,AA19,AB19,AC19,AD19,AE19)</f>
        <v>..</v>
      </c>
    </row>
    <row r="20" spans="1:59" x14ac:dyDescent="0.25">
      <c r="A20" s="4"/>
      <c r="B20" s="26" t="s">
        <v>68</v>
      </c>
      <c r="I20" s="406"/>
      <c r="J20" s="406"/>
      <c r="K20" s="406"/>
      <c r="L20" s="406"/>
      <c r="M20" s="406"/>
      <c r="N20" s="46"/>
      <c r="O20" s="46"/>
      <c r="P20" s="46"/>
      <c r="Q20" s="46"/>
      <c r="R20" s="46"/>
      <c r="S20" s="46"/>
      <c r="T20" s="46"/>
      <c r="Y20" s="409" t="str">
        <f>IFERROR(VLOOKUP(BG19,WZ!G999:H1833,2,FALSE),"")</f>
        <v/>
      </c>
      <c r="Z20" s="409"/>
      <c r="AA20" s="409"/>
      <c r="AB20" s="409"/>
      <c r="AC20" s="409"/>
      <c r="AD20" s="409"/>
      <c r="AE20" s="409"/>
      <c r="AF20" s="409"/>
      <c r="AG20" s="409"/>
      <c r="AH20" s="409"/>
      <c r="AI20" s="409"/>
      <c r="AJ20" s="409"/>
      <c r="AK20" s="409"/>
      <c r="AL20" s="409"/>
      <c r="AM20" s="409"/>
      <c r="AN20" s="409"/>
      <c r="AQ20" s="404" t="str">
        <f>IF(AND(ISERROR(VLOOKUP(BG19,WZ!G999:H1833,2,FALSE)),BG19&lt;&gt;".."),"Händische Auswahl fehlerhaft","")</f>
        <v/>
      </c>
      <c r="AR20" s="404"/>
      <c r="AS20" s="404"/>
      <c r="AT20" s="404"/>
      <c r="AU20" s="404"/>
      <c r="AV20" s="404"/>
      <c r="AW20" s="404"/>
      <c r="AX20" s="404"/>
      <c r="AY20" s="404"/>
      <c r="AZ20" s="65"/>
      <c r="BF20" s="5"/>
    </row>
    <row r="21" spans="1:59" x14ac:dyDescent="0.25">
      <c r="A21" s="4"/>
      <c r="O21" s="26"/>
      <c r="Y21" s="409"/>
      <c r="Z21" s="409"/>
      <c r="AA21" s="409"/>
      <c r="AB21" s="409"/>
      <c r="AC21" s="409"/>
      <c r="AD21" s="409"/>
      <c r="AE21" s="409"/>
      <c r="AF21" s="409"/>
      <c r="AG21" s="409"/>
      <c r="AH21" s="409"/>
      <c r="AI21" s="409"/>
      <c r="AJ21" s="409"/>
      <c r="AK21" s="409"/>
      <c r="AL21" s="409"/>
      <c r="AM21" s="409"/>
      <c r="AN21" s="409"/>
      <c r="AQ21" s="65"/>
      <c r="AR21" s="65"/>
      <c r="AS21" s="65"/>
      <c r="AT21" s="65"/>
      <c r="AU21" s="65"/>
      <c r="AV21" s="65"/>
      <c r="AW21" s="65"/>
      <c r="AX21" s="65"/>
      <c r="AY21" s="65"/>
      <c r="AZ21" s="65"/>
      <c r="BF21" s="5"/>
    </row>
    <row r="22" spans="1:59" ht="6.95" customHeight="1" x14ac:dyDescent="0.25">
      <c r="A22" s="4"/>
      <c r="O22" s="26"/>
      <c r="BF22" s="5"/>
    </row>
    <row r="23" spans="1:59" ht="45" customHeight="1" x14ac:dyDescent="0.25">
      <c r="A23" s="4"/>
      <c r="B23" s="407" t="s">
        <v>1895</v>
      </c>
      <c r="C23" s="407"/>
      <c r="D23" s="407"/>
      <c r="E23" s="407"/>
      <c r="F23" s="407"/>
      <c r="G23" s="407"/>
      <c r="I23" s="397"/>
      <c r="J23" s="420"/>
      <c r="K23" s="420"/>
      <c r="L23" s="420"/>
      <c r="M23" s="420"/>
      <c r="N23" s="420"/>
      <c r="O23" s="420"/>
      <c r="P23" s="420"/>
      <c r="Q23" s="420"/>
      <c r="R23" s="420"/>
      <c r="S23" s="420"/>
      <c r="T23" s="420"/>
      <c r="U23" s="420"/>
      <c r="V23" s="420"/>
      <c r="W23" s="420"/>
      <c r="X23" s="420"/>
      <c r="Y23" s="420"/>
      <c r="Z23" s="420"/>
      <c r="AA23" s="420"/>
      <c r="AB23" s="420"/>
      <c r="AC23" s="420"/>
      <c r="AD23" s="420"/>
      <c r="AE23" s="420"/>
      <c r="AF23" s="420"/>
      <c r="AG23" s="420"/>
      <c r="AH23" s="420"/>
      <c r="AI23" s="420"/>
      <c r="AJ23" s="420"/>
      <c r="AK23" s="420"/>
      <c r="AL23" s="420"/>
      <c r="AM23" s="420"/>
      <c r="AN23" s="420"/>
      <c r="AQ23" s="417" t="str">
        <f>IF(BD23=1,"Bitte Dateneingabe vornehmen","")</f>
        <v>Bitte Dateneingabe vornehmen</v>
      </c>
      <c r="AR23" s="417"/>
      <c r="AS23" s="417"/>
      <c r="AT23" s="417"/>
      <c r="AU23" s="417"/>
      <c r="AV23" s="417"/>
      <c r="AW23" s="417"/>
      <c r="AX23" s="417"/>
      <c r="AY23" s="417"/>
      <c r="AZ23" s="417"/>
      <c r="BD23" s="36">
        <f>IF(I23="",1,0)</f>
        <v>1</v>
      </c>
      <c r="BF23" s="5"/>
    </row>
    <row r="24" spans="1:59" ht="6.95" customHeight="1" x14ac:dyDescent="0.25">
      <c r="A24" s="4"/>
      <c r="O24" s="26"/>
      <c r="BF24" s="5"/>
    </row>
    <row r="25" spans="1:59" x14ac:dyDescent="0.25">
      <c r="A25" s="4"/>
      <c r="B25" s="26" t="s">
        <v>71</v>
      </c>
      <c r="O25" s="26"/>
      <c r="U25" s="395"/>
      <c r="V25" s="395"/>
      <c r="W25" s="395"/>
      <c r="AQ25" s="418" t="str">
        <f>IF(BD25=1,"Bitte Auswahl treffen","")</f>
        <v>Bitte Auswahl treffen</v>
      </c>
      <c r="AR25" s="418"/>
      <c r="AS25" s="418"/>
      <c r="AT25" s="418"/>
      <c r="AU25" s="418"/>
      <c r="AV25" s="418"/>
      <c r="AW25" s="418"/>
      <c r="AX25" s="418"/>
      <c r="AY25" s="418"/>
      <c r="AZ25" s="418"/>
      <c r="BD25" s="36">
        <f>IF(U25="",1,0)</f>
        <v>1</v>
      </c>
      <c r="BF25" s="5">
        <f>IF(U25="Ja",1,0)</f>
        <v>0</v>
      </c>
    </row>
    <row r="26" spans="1:59" x14ac:dyDescent="0.25">
      <c r="A26" s="4"/>
      <c r="O26" s="26"/>
      <c r="BF26" s="5"/>
    </row>
    <row r="27" spans="1:59" ht="45" customHeight="1" x14ac:dyDescent="0.25">
      <c r="A27" s="4"/>
      <c r="B27" s="407" t="str">
        <f>IF(U25="Ja","Weitere Tätigkeits-schwerpunkte:","")</f>
        <v/>
      </c>
      <c r="C27" s="407"/>
      <c r="D27" s="407"/>
      <c r="E27" s="407"/>
      <c r="F27" s="407"/>
      <c r="G27" s="407"/>
      <c r="I27" s="408"/>
      <c r="J27" s="408"/>
      <c r="K27" s="408"/>
      <c r="L27" s="408"/>
      <c r="M27" s="408"/>
      <c r="N27" s="408"/>
      <c r="O27" s="408"/>
      <c r="P27" s="408"/>
      <c r="Q27" s="408"/>
      <c r="R27" s="408"/>
      <c r="S27" s="408"/>
      <c r="T27" s="408"/>
      <c r="U27" s="408"/>
      <c r="V27" s="408"/>
      <c r="W27" s="408"/>
      <c r="X27" s="408"/>
      <c r="Y27" s="408"/>
      <c r="Z27" s="408"/>
      <c r="AA27" s="408"/>
      <c r="AB27" s="408"/>
      <c r="AC27" s="408"/>
      <c r="AD27" s="408"/>
      <c r="AE27" s="408"/>
      <c r="AF27" s="408"/>
      <c r="AG27" s="408"/>
      <c r="AH27" s="408"/>
      <c r="AI27" s="408"/>
      <c r="AJ27" s="408"/>
      <c r="AK27" s="408"/>
      <c r="AL27" s="408"/>
      <c r="AM27" s="408"/>
      <c r="AN27" s="408"/>
      <c r="AQ27" s="419" t="str">
        <f>IF(BD27=1,"Bitte Dateneingabe vornehmen","")</f>
        <v/>
      </c>
      <c r="AR27" s="419"/>
      <c r="AS27" s="419"/>
      <c r="AT27" s="419"/>
      <c r="AU27" s="419"/>
      <c r="AV27" s="419"/>
      <c r="AW27" s="419"/>
      <c r="AX27" s="419"/>
      <c r="AY27" s="419"/>
      <c r="AZ27" s="419"/>
      <c r="BB27" s="2"/>
      <c r="BD27" s="36">
        <f>IF(AND(BF25=1,I27=""),1,0)</f>
        <v>0</v>
      </c>
      <c r="BF27" s="5"/>
    </row>
    <row r="28" spans="1:59" x14ac:dyDescent="0.25">
      <c r="A28" s="4"/>
      <c r="O28" s="26"/>
      <c r="BB28" s="2"/>
      <c r="BC28" s="2"/>
      <c r="BF28" s="5"/>
    </row>
    <row r="29" spans="1:59" x14ac:dyDescent="0.25">
      <c r="A29" s="4" t="s">
        <v>2014</v>
      </c>
      <c r="B29" s="26" t="s">
        <v>2245</v>
      </c>
      <c r="K29" s="2"/>
      <c r="L29" s="2"/>
      <c r="M29" s="2"/>
      <c r="N29" s="2"/>
      <c r="O29" s="2"/>
      <c r="Q29" s="2"/>
      <c r="R29" s="2"/>
      <c r="S29" s="2"/>
      <c r="T29" s="2"/>
      <c r="U29" s="2"/>
      <c r="V29" s="27"/>
      <c r="W29" s="27"/>
      <c r="X29" s="27"/>
      <c r="Y29" s="2"/>
      <c r="Z29" s="2"/>
      <c r="AA29" s="395"/>
      <c r="AB29" s="395"/>
      <c r="AC29" s="395"/>
      <c r="AD29" s="2"/>
      <c r="AE29" s="26" t="s">
        <v>2172</v>
      </c>
      <c r="AQ29" s="396" t="str">
        <f>IF(BD29=1,"Bitte Auswahl treffen","")</f>
        <v>Bitte Auswahl treffen</v>
      </c>
      <c r="AR29" s="396"/>
      <c r="AS29" s="396"/>
      <c r="AT29" s="396"/>
      <c r="AU29" s="396"/>
      <c r="AV29" s="396"/>
      <c r="AW29" s="396"/>
      <c r="AX29" s="396"/>
      <c r="AY29" s="396"/>
      <c r="AZ29" s="396"/>
      <c r="BD29" s="36">
        <f>IF(AA29="",1,0)</f>
        <v>1</v>
      </c>
      <c r="BE29" s="36">
        <f>IF(AA29="Ja",1,0)</f>
        <v>0</v>
      </c>
      <c r="BF29" s="5"/>
    </row>
    <row r="30" spans="1:59" ht="15" customHeight="1" x14ac:dyDescent="0.25">
      <c r="A30" s="4"/>
      <c r="B30" s="26" t="s">
        <v>2149</v>
      </c>
      <c r="K30" s="2"/>
      <c r="L30" s="2"/>
      <c r="M30" s="2"/>
      <c r="N30" s="2"/>
      <c r="O30" s="2"/>
      <c r="Q30" s="29"/>
      <c r="R30" s="29"/>
      <c r="S30" s="29"/>
      <c r="T30" s="2"/>
      <c r="U30" s="2"/>
      <c r="V30" s="27"/>
      <c r="W30" s="27"/>
      <c r="X30" s="27"/>
      <c r="Y30" s="2"/>
      <c r="Z30" s="2"/>
      <c r="AA30" s="2"/>
      <c r="AB30" s="2"/>
      <c r="AC30" s="2"/>
      <c r="AD30" s="2"/>
      <c r="AE30" s="27"/>
      <c r="AF30" s="27"/>
      <c r="AG30" s="27"/>
      <c r="AH30" s="27"/>
      <c r="AI30" s="27"/>
      <c r="AJ30" s="27"/>
      <c r="AK30" s="27"/>
      <c r="AL30" s="27"/>
      <c r="AM30" s="27"/>
      <c r="AN30" s="27"/>
      <c r="AQ30" s="403" t="s">
        <v>2191</v>
      </c>
      <c r="AR30" s="403"/>
      <c r="AS30" s="403"/>
      <c r="AT30" s="403"/>
      <c r="AU30" s="403"/>
      <c r="AV30" s="403"/>
      <c r="AW30" s="403"/>
      <c r="AX30" s="403"/>
      <c r="AY30" s="403"/>
      <c r="AZ30" s="403"/>
      <c r="BA30" s="403"/>
      <c r="BF30" s="5"/>
    </row>
    <row r="31" spans="1:59" x14ac:dyDescent="0.25">
      <c r="A31" s="4"/>
      <c r="K31" s="2"/>
      <c r="L31" s="2"/>
      <c r="M31" s="2"/>
      <c r="N31" s="2"/>
      <c r="O31" s="2"/>
      <c r="Q31" s="29"/>
      <c r="R31" s="29"/>
      <c r="S31" s="29"/>
      <c r="T31" s="2"/>
      <c r="U31" s="2"/>
      <c r="V31" s="27"/>
      <c r="W31" s="27"/>
      <c r="X31" s="27"/>
      <c r="Y31" s="2"/>
      <c r="Z31" s="2"/>
      <c r="AA31" s="2"/>
      <c r="AB31" s="2"/>
      <c r="AC31" s="2"/>
      <c r="AD31" s="2"/>
      <c r="AE31" s="27"/>
      <c r="AF31" s="27"/>
      <c r="AG31" s="27"/>
      <c r="AH31" s="27"/>
      <c r="AI31" s="27"/>
      <c r="AJ31" s="27"/>
      <c r="AK31" s="27"/>
      <c r="AL31" s="27"/>
      <c r="AM31" s="27"/>
      <c r="AN31" s="27"/>
      <c r="AQ31" s="403"/>
      <c r="AR31" s="403"/>
      <c r="AS31" s="403"/>
      <c r="AT31" s="403"/>
      <c r="AU31" s="403"/>
      <c r="AV31" s="403"/>
      <c r="AW31" s="403"/>
      <c r="AX31" s="403"/>
      <c r="AY31" s="403"/>
      <c r="AZ31" s="403"/>
      <c r="BA31" s="403"/>
      <c r="BF31" s="5"/>
    </row>
    <row r="32" spans="1:59" x14ac:dyDescent="0.25">
      <c r="A32" s="4"/>
      <c r="B32" s="407" t="s">
        <v>2246</v>
      </c>
      <c r="C32" s="422"/>
      <c r="D32" s="422"/>
      <c r="E32" s="422"/>
      <c r="F32" s="422"/>
      <c r="G32" s="422"/>
      <c r="H32" s="422"/>
      <c r="I32" s="422"/>
      <c r="J32" s="422"/>
      <c r="K32" s="422"/>
      <c r="L32" s="422"/>
      <c r="M32" s="422"/>
      <c r="N32" s="422"/>
      <c r="O32" s="422"/>
      <c r="P32" s="422"/>
      <c r="Q32" s="422"/>
      <c r="R32" s="422"/>
      <c r="S32" s="422"/>
      <c r="T32" s="422"/>
      <c r="U32" s="422"/>
      <c r="V32" s="422"/>
      <c r="W32" s="422"/>
      <c r="X32" s="422"/>
      <c r="Y32" s="422"/>
      <c r="Z32" s="2"/>
      <c r="AA32" s="395"/>
      <c r="AB32" s="395"/>
      <c r="AC32" s="395"/>
      <c r="AD32" s="2"/>
      <c r="AE32" s="26" t="s">
        <v>2172</v>
      </c>
      <c r="AF32" s="2"/>
      <c r="AG32" s="2"/>
      <c r="AH32" s="2"/>
      <c r="AI32" s="2"/>
      <c r="AJ32" s="2"/>
      <c r="AK32" s="2"/>
      <c r="AL32" s="2"/>
      <c r="AM32" s="2"/>
      <c r="AN32" s="2"/>
      <c r="AQ32" s="396" t="str">
        <f>IF(BD32=1,"Bitte Auswahl treffen","")</f>
        <v>Bitte Auswahl treffen</v>
      </c>
      <c r="AR32" s="396"/>
      <c r="AS32" s="396"/>
      <c r="AT32" s="396"/>
      <c r="AU32" s="396"/>
      <c r="AV32" s="396"/>
      <c r="AW32" s="396"/>
      <c r="AX32" s="396"/>
      <c r="AY32" s="396"/>
      <c r="AZ32" s="396"/>
      <c r="BA32" s="2"/>
      <c r="BD32" s="36">
        <f>IF(AA32="",1,0)</f>
        <v>1</v>
      </c>
      <c r="BE32" s="36">
        <f>IF(AA32="Ja",1,0)</f>
        <v>0</v>
      </c>
      <c r="BF32" s="5"/>
    </row>
    <row r="33" spans="1:74" x14ac:dyDescent="0.25">
      <c r="A33" s="4"/>
      <c r="B33" s="422"/>
      <c r="C33" s="422"/>
      <c r="D33" s="422"/>
      <c r="E33" s="422"/>
      <c r="F33" s="422"/>
      <c r="G33" s="422"/>
      <c r="H33" s="422"/>
      <c r="I33" s="422"/>
      <c r="J33" s="422"/>
      <c r="K33" s="422"/>
      <c r="L33" s="422"/>
      <c r="M33" s="422"/>
      <c r="N33" s="422"/>
      <c r="O33" s="422"/>
      <c r="P33" s="422"/>
      <c r="Q33" s="422"/>
      <c r="R33" s="422"/>
      <c r="S33" s="422"/>
      <c r="T33" s="422"/>
      <c r="U33" s="422"/>
      <c r="V33" s="422"/>
      <c r="W33" s="422"/>
      <c r="X33" s="422"/>
      <c r="Y33" s="422"/>
      <c r="Z33" s="2"/>
      <c r="AA33" s="2"/>
      <c r="AB33" s="2"/>
      <c r="AC33" s="2"/>
      <c r="AD33" s="2"/>
      <c r="AE33" s="27"/>
      <c r="AF33" s="27"/>
      <c r="AG33" s="27"/>
      <c r="AH33" s="27"/>
      <c r="AI33" s="27"/>
      <c r="AJ33" s="27"/>
      <c r="AK33" s="27"/>
      <c r="AL33" s="27"/>
      <c r="AM33" s="27"/>
      <c r="AN33" s="27"/>
      <c r="AQ33" s="403"/>
      <c r="AR33" s="403"/>
      <c r="AS33" s="403"/>
      <c r="AT33" s="403"/>
      <c r="AU33" s="403"/>
      <c r="AV33" s="403"/>
      <c r="AW33" s="403"/>
      <c r="AX33" s="403"/>
      <c r="AY33" s="403"/>
      <c r="AZ33" s="403"/>
      <c r="BA33" s="403"/>
      <c r="BF33" s="5"/>
    </row>
    <row r="34" spans="1:74" x14ac:dyDescent="0.25">
      <c r="A34" s="4"/>
      <c r="K34" s="2"/>
      <c r="L34" s="2"/>
      <c r="M34" s="2"/>
      <c r="N34" s="2"/>
      <c r="O34" s="2"/>
      <c r="Q34" s="29"/>
      <c r="R34" s="29"/>
      <c r="S34" s="29"/>
      <c r="T34" s="2"/>
      <c r="U34" s="2"/>
      <c r="V34" s="27"/>
      <c r="W34" s="27"/>
      <c r="X34" s="27"/>
      <c r="Y34" s="2"/>
      <c r="Z34" s="2"/>
      <c r="AA34" s="2"/>
      <c r="AB34" s="2"/>
      <c r="AC34" s="2"/>
      <c r="AD34" s="2"/>
      <c r="AE34" s="27"/>
      <c r="AF34" s="27"/>
      <c r="AG34" s="27"/>
      <c r="AH34" s="27"/>
      <c r="AI34" s="27"/>
      <c r="AJ34" s="27"/>
      <c r="AK34" s="27"/>
      <c r="AL34" s="27"/>
      <c r="AM34" s="27"/>
      <c r="AN34" s="27"/>
      <c r="AQ34" s="66"/>
      <c r="AR34" s="66"/>
      <c r="AS34" s="66"/>
      <c r="AT34" s="66"/>
      <c r="AU34" s="66"/>
      <c r="AV34" s="66"/>
      <c r="AW34" s="66"/>
      <c r="AX34" s="66"/>
      <c r="AY34" s="66"/>
      <c r="AZ34" s="66"/>
      <c r="BA34" s="66"/>
      <c r="BF34" s="5"/>
      <c r="BL34" s="68"/>
      <c r="BM34" s="69"/>
      <c r="BN34" s="69"/>
      <c r="BO34" s="69"/>
      <c r="BP34" s="69"/>
      <c r="BQ34" s="69"/>
      <c r="BR34" s="69"/>
      <c r="BS34" s="69"/>
      <c r="BT34" s="69"/>
      <c r="BU34" s="69"/>
      <c r="BV34" s="69"/>
    </row>
    <row r="35" spans="1:74" x14ac:dyDescent="0.25">
      <c r="A35" s="4"/>
      <c r="B35" s="26" t="s">
        <v>1942</v>
      </c>
      <c r="K35" s="29"/>
      <c r="L35" s="29"/>
      <c r="M35" s="29"/>
      <c r="O35" s="31"/>
      <c r="AQ35" s="138"/>
      <c r="AR35" s="66"/>
      <c r="AS35" s="66"/>
      <c r="AT35" s="66"/>
      <c r="AU35" s="66"/>
      <c r="AV35" s="66"/>
      <c r="AW35" s="66"/>
      <c r="AX35" s="66"/>
      <c r="AY35" s="66"/>
      <c r="AZ35" s="66"/>
      <c r="BA35" s="66"/>
      <c r="BF35" s="5"/>
      <c r="BL35" s="68"/>
      <c r="BM35" s="69"/>
      <c r="BN35" s="69"/>
      <c r="BO35" s="69"/>
      <c r="BP35" s="69"/>
      <c r="BQ35" s="69"/>
      <c r="BR35" s="69"/>
      <c r="BS35" s="69"/>
      <c r="BT35" s="69"/>
      <c r="BU35" s="69"/>
      <c r="BV35" s="69"/>
    </row>
    <row r="36" spans="1:74" x14ac:dyDescent="0.25">
      <c r="A36" s="4"/>
      <c r="B36" s="132" t="s">
        <v>1939</v>
      </c>
      <c r="C36" s="132"/>
      <c r="K36" s="29"/>
      <c r="L36" s="29"/>
      <c r="M36" s="29"/>
      <c r="O36" s="31"/>
      <c r="AQ36" s="138"/>
      <c r="AR36" s="66"/>
      <c r="AS36" s="66"/>
      <c r="AT36" s="66"/>
      <c r="AU36" s="66"/>
      <c r="AV36" s="66"/>
      <c r="AW36" s="66"/>
      <c r="AX36" s="66"/>
      <c r="AY36" s="66"/>
      <c r="AZ36" s="66"/>
      <c r="BA36" s="66"/>
      <c r="BF36" s="5"/>
      <c r="BL36" s="68"/>
      <c r="BM36" s="69"/>
      <c r="BN36" s="69"/>
      <c r="BO36" s="69"/>
      <c r="BP36" s="69"/>
      <c r="BQ36" s="69"/>
      <c r="BR36" s="69"/>
      <c r="BS36" s="69"/>
      <c r="BT36" s="69"/>
      <c r="BU36" s="69"/>
      <c r="BV36" s="69"/>
    </row>
    <row r="37" spans="1:74" x14ac:dyDescent="0.25">
      <c r="A37" s="4"/>
      <c r="B37" s="132" t="s">
        <v>1940</v>
      </c>
      <c r="C37" s="132"/>
      <c r="K37" s="29"/>
      <c r="L37" s="29"/>
      <c r="M37" s="29"/>
      <c r="O37" s="31"/>
      <c r="AQ37" s="66"/>
      <c r="AR37" s="66"/>
      <c r="AS37" s="66"/>
      <c r="AT37" s="66"/>
      <c r="AU37" s="66"/>
      <c r="AV37" s="66"/>
      <c r="AW37" s="66"/>
      <c r="AX37" s="66"/>
      <c r="AY37" s="66"/>
      <c r="AZ37" s="66"/>
      <c r="BA37" s="66"/>
      <c r="BF37" s="5"/>
      <c r="BL37" s="91"/>
      <c r="BM37" s="91"/>
      <c r="BN37" s="91"/>
      <c r="BO37" s="91"/>
      <c r="BP37" s="91"/>
      <c r="BQ37" s="91"/>
      <c r="BR37" s="91"/>
      <c r="BS37" s="91"/>
      <c r="BT37" s="91"/>
      <c r="BU37" s="91"/>
      <c r="BV37" s="91"/>
    </row>
    <row r="38" spans="1:74" x14ac:dyDescent="0.25">
      <c r="A38" s="4"/>
      <c r="B38" s="132" t="s">
        <v>1941</v>
      </c>
      <c r="C38" s="132"/>
      <c r="K38" s="29"/>
      <c r="L38" s="29"/>
      <c r="M38" s="29"/>
      <c r="O38" s="31"/>
      <c r="AQ38" s="66"/>
      <c r="AR38" s="66"/>
      <c r="AS38" s="66"/>
      <c r="AT38" s="66"/>
      <c r="AU38" s="66"/>
      <c r="AV38" s="66"/>
      <c r="AW38" s="66"/>
      <c r="AX38" s="66"/>
      <c r="AY38" s="66"/>
      <c r="AZ38" s="66"/>
      <c r="BA38" s="66"/>
      <c r="BF38" s="5"/>
      <c r="BL38" s="68"/>
      <c r="BM38" s="69"/>
      <c r="BN38" s="69"/>
      <c r="BO38" s="69"/>
      <c r="BP38" s="69"/>
      <c r="BQ38" s="69"/>
      <c r="BR38" s="69"/>
      <c r="BS38" s="69"/>
      <c r="BT38" s="69"/>
      <c r="BU38" s="69"/>
      <c r="BV38" s="69"/>
    </row>
    <row r="39" spans="1:74" ht="6.95" customHeight="1" x14ac:dyDescent="0.25">
      <c r="A39" s="4"/>
      <c r="K39" s="29"/>
      <c r="L39" s="29"/>
      <c r="M39" s="29"/>
      <c r="O39" s="31"/>
      <c r="AQ39" s="66"/>
      <c r="AR39" s="66"/>
      <c r="AS39" s="66"/>
      <c r="AT39" s="66"/>
      <c r="AU39" s="66"/>
      <c r="AV39" s="66"/>
      <c r="AW39" s="66"/>
      <c r="AX39" s="66"/>
      <c r="AY39" s="66"/>
      <c r="AZ39" s="66"/>
      <c r="BA39" s="66"/>
      <c r="BF39" s="5"/>
      <c r="BL39" s="68"/>
      <c r="BM39" s="69"/>
      <c r="BN39" s="69"/>
      <c r="BO39" s="69"/>
      <c r="BP39" s="69"/>
      <c r="BQ39" s="69"/>
      <c r="BR39" s="69"/>
      <c r="BS39" s="69"/>
      <c r="BT39" s="69"/>
      <c r="BU39" s="69"/>
      <c r="BV39" s="69"/>
    </row>
    <row r="40" spans="1:74" x14ac:dyDescent="0.25">
      <c r="A40" s="4"/>
      <c r="B40" s="26" t="s">
        <v>2247</v>
      </c>
      <c r="K40" s="29"/>
      <c r="L40" s="29"/>
      <c r="M40" s="29"/>
      <c r="O40" s="31"/>
      <c r="U40" s="2"/>
      <c r="V40" s="2"/>
      <c r="W40" s="2"/>
      <c r="Z40" s="2"/>
      <c r="AA40" s="395"/>
      <c r="AB40" s="395"/>
      <c r="AC40" s="395"/>
      <c r="AD40" s="2"/>
      <c r="AE40" s="26" t="s">
        <v>2172</v>
      </c>
      <c r="AF40" s="2"/>
      <c r="AG40" s="2"/>
      <c r="AH40" s="2"/>
      <c r="AI40" s="2"/>
      <c r="AJ40" s="2"/>
      <c r="AK40" s="2"/>
      <c r="AL40" s="2"/>
      <c r="AM40" s="2"/>
      <c r="AN40" s="2"/>
      <c r="AQ40" s="396" t="str">
        <f>IF(BD40=1,"Bitte Auswahl treffen","")</f>
        <v>Bitte Auswahl treffen</v>
      </c>
      <c r="AR40" s="396"/>
      <c r="AS40" s="396"/>
      <c r="AT40" s="396"/>
      <c r="AU40" s="396"/>
      <c r="AV40" s="396"/>
      <c r="AW40" s="396"/>
      <c r="AX40" s="396"/>
      <c r="AY40" s="396"/>
      <c r="AZ40" s="396"/>
      <c r="BA40" s="66"/>
      <c r="BD40" s="36">
        <f>IF(AA40="",1,0)</f>
        <v>1</v>
      </c>
      <c r="BE40" s="36">
        <f>IF(AA40="Ja",1,0)</f>
        <v>0</v>
      </c>
      <c r="BF40" s="5"/>
      <c r="BL40" s="402"/>
      <c r="BM40" s="402"/>
      <c r="BN40" s="402"/>
      <c r="BO40" s="402"/>
      <c r="BP40" s="402"/>
      <c r="BQ40" s="402"/>
      <c r="BR40" s="402"/>
      <c r="BS40" s="402"/>
      <c r="BT40" s="402"/>
      <c r="BU40" s="402"/>
      <c r="BV40" s="402"/>
    </row>
    <row r="41" spans="1:74" x14ac:dyDescent="0.25">
      <c r="A41" s="4"/>
      <c r="B41" s="26" t="s">
        <v>2149</v>
      </c>
      <c r="K41" s="2"/>
      <c r="L41" s="2"/>
      <c r="M41" s="2"/>
      <c r="N41" s="2"/>
      <c r="O41" s="2"/>
      <c r="Q41" s="29"/>
      <c r="R41" s="29"/>
      <c r="S41" s="29"/>
      <c r="T41" s="2"/>
      <c r="U41" s="2"/>
      <c r="V41" s="27"/>
      <c r="W41" s="27"/>
      <c r="X41" s="27"/>
      <c r="Y41" s="2"/>
      <c r="Z41" s="2"/>
      <c r="AA41" s="2"/>
      <c r="AB41" s="2"/>
      <c r="AC41" s="2"/>
      <c r="AD41" s="2"/>
      <c r="AE41" s="27"/>
      <c r="AF41" s="27"/>
      <c r="AG41" s="27"/>
      <c r="AH41" s="27"/>
      <c r="AI41" s="27"/>
      <c r="AJ41" s="27"/>
      <c r="AK41" s="27"/>
      <c r="AL41" s="27"/>
      <c r="AM41" s="27"/>
      <c r="AN41" s="27"/>
      <c r="AQ41" s="66"/>
      <c r="AR41" s="66"/>
      <c r="AS41" s="66"/>
      <c r="AT41" s="66"/>
      <c r="AU41" s="66"/>
      <c r="AV41" s="66"/>
      <c r="AW41" s="66"/>
      <c r="AX41" s="66"/>
      <c r="AY41" s="66"/>
      <c r="AZ41" s="66"/>
      <c r="BA41" s="66"/>
      <c r="BF41" s="5"/>
      <c r="BL41" s="402"/>
      <c r="BM41" s="402"/>
      <c r="BN41" s="402"/>
      <c r="BO41" s="402"/>
      <c r="BP41" s="402"/>
      <c r="BQ41" s="402"/>
      <c r="BR41" s="402"/>
      <c r="BS41" s="402"/>
      <c r="BT41" s="402"/>
      <c r="BU41" s="402"/>
      <c r="BV41" s="402"/>
    </row>
    <row r="42" spans="1:74" x14ac:dyDescent="0.25">
      <c r="A42" s="4"/>
      <c r="K42" s="2"/>
      <c r="L42" s="2"/>
      <c r="M42" s="2"/>
      <c r="N42" s="2"/>
      <c r="O42" s="2"/>
      <c r="Q42" s="29"/>
      <c r="R42" s="29"/>
      <c r="S42" s="29"/>
      <c r="T42" s="2"/>
      <c r="U42" s="2"/>
      <c r="V42" s="27"/>
      <c r="W42" s="27"/>
      <c r="X42" s="27"/>
      <c r="Y42" s="2"/>
      <c r="Z42" s="2"/>
      <c r="AA42" s="2"/>
      <c r="AB42" s="2"/>
      <c r="AC42" s="2"/>
      <c r="AD42" s="2"/>
      <c r="AE42" s="27"/>
      <c r="AF42" s="27"/>
      <c r="AG42" s="27"/>
      <c r="AH42" s="27"/>
      <c r="AI42" s="27"/>
      <c r="AJ42" s="27"/>
      <c r="AK42" s="27"/>
      <c r="AL42" s="27"/>
      <c r="AM42" s="27"/>
      <c r="AN42" s="27"/>
      <c r="AQ42" s="66"/>
      <c r="AR42" s="66"/>
      <c r="AS42" s="66"/>
      <c r="AT42" s="66"/>
      <c r="AU42" s="66"/>
      <c r="AV42" s="66"/>
      <c r="AW42" s="66"/>
      <c r="AX42" s="66"/>
      <c r="AY42" s="66"/>
      <c r="AZ42" s="66"/>
      <c r="BA42" s="66"/>
      <c r="BF42" s="5"/>
      <c r="BL42" s="345"/>
      <c r="BM42" s="345"/>
      <c r="BN42" s="345"/>
      <c r="BO42" s="345"/>
      <c r="BP42" s="345"/>
      <c r="BQ42" s="345"/>
      <c r="BR42" s="345"/>
      <c r="BS42" s="345"/>
      <c r="BT42" s="345"/>
      <c r="BU42" s="345"/>
      <c r="BV42" s="345"/>
    </row>
    <row r="43" spans="1:74" x14ac:dyDescent="0.25">
      <c r="A43" s="4"/>
      <c r="B43" s="46" t="str">
        <f>IF(BD43=1,"","Ergebnis:")</f>
        <v/>
      </c>
      <c r="F43" s="410" t="str">
        <f>IF($BD$43=1,"",IF($BE$43=1,"Genereller Leistungsausschluss","Kein Leistungsausschluss"))</f>
        <v/>
      </c>
      <c r="G43" s="410"/>
      <c r="H43" s="410"/>
      <c r="I43" s="410"/>
      <c r="J43" s="410"/>
      <c r="K43" s="410"/>
      <c r="L43" s="410"/>
      <c r="M43" s="410"/>
      <c r="N43" s="410"/>
      <c r="O43" s="2"/>
      <c r="Q43" s="29"/>
      <c r="R43" s="29"/>
      <c r="S43" s="29"/>
      <c r="T43" s="2"/>
      <c r="U43" s="2"/>
      <c r="V43" s="27"/>
      <c r="W43" s="27"/>
      <c r="X43" s="27"/>
      <c r="Y43" s="2"/>
      <c r="Z43" s="2"/>
      <c r="AA43" s="2"/>
      <c r="AB43" s="2"/>
      <c r="AC43" s="2"/>
      <c r="AD43" s="2"/>
      <c r="AE43" s="27"/>
      <c r="AF43" s="27"/>
      <c r="AG43" s="27"/>
      <c r="AH43" s="27"/>
      <c r="AI43" s="27"/>
      <c r="AJ43" s="27"/>
      <c r="AK43" s="27"/>
      <c r="AL43" s="27"/>
      <c r="AM43" s="27"/>
      <c r="AN43" s="27"/>
      <c r="AQ43" s="66"/>
      <c r="AR43" s="66"/>
      <c r="AS43" s="66"/>
      <c r="AT43" s="66"/>
      <c r="AU43" s="66"/>
      <c r="AV43" s="66"/>
      <c r="AW43" s="66"/>
      <c r="AX43" s="66"/>
      <c r="AY43" s="66"/>
      <c r="AZ43" s="66"/>
      <c r="BA43" s="66"/>
      <c r="BD43" s="36">
        <f>MAX(BD29:BD40)</f>
        <v>1</v>
      </c>
      <c r="BE43" s="36">
        <f>MAX(BE29:BE41)</f>
        <v>0</v>
      </c>
      <c r="BF43" s="5"/>
      <c r="BL43" s="68"/>
      <c r="BM43" s="90"/>
      <c r="BN43" s="90"/>
      <c r="BO43" s="90"/>
      <c r="BP43" s="90"/>
      <c r="BQ43" s="90"/>
      <c r="BR43" s="90"/>
      <c r="BS43" s="90"/>
      <c r="BT43" s="90"/>
      <c r="BU43" s="90"/>
      <c r="BV43" s="90"/>
    </row>
    <row r="44" spans="1:74" x14ac:dyDescent="0.25">
      <c r="A44" s="4"/>
      <c r="K44" s="2"/>
      <c r="L44" s="2"/>
      <c r="M44" s="2"/>
      <c r="N44" s="2"/>
      <c r="O44" s="2"/>
      <c r="Q44" s="29"/>
      <c r="R44" s="29"/>
      <c r="S44" s="29"/>
      <c r="T44" s="2"/>
      <c r="U44" s="2"/>
      <c r="V44" s="27"/>
      <c r="W44" s="27"/>
      <c r="X44" s="27"/>
      <c r="Y44" s="2"/>
      <c r="Z44" s="2"/>
      <c r="AA44" s="2"/>
      <c r="AB44" s="2"/>
      <c r="AC44" s="2"/>
      <c r="AD44" s="2"/>
      <c r="AE44" s="27"/>
      <c r="AF44" s="27"/>
      <c r="AG44" s="27"/>
      <c r="AH44" s="27"/>
      <c r="AI44" s="27"/>
      <c r="AJ44" s="27"/>
      <c r="AK44" s="27"/>
      <c r="AL44" s="27"/>
      <c r="AM44" s="27"/>
      <c r="AN44" s="27"/>
      <c r="AQ44" s="66"/>
      <c r="AR44" s="66"/>
      <c r="AS44" s="66"/>
      <c r="AT44" s="66"/>
      <c r="AU44" s="66"/>
      <c r="AV44" s="66"/>
      <c r="AW44" s="66"/>
      <c r="AX44" s="66"/>
      <c r="AY44" s="66"/>
      <c r="AZ44" s="66"/>
      <c r="BA44" s="66"/>
      <c r="BF44" s="5"/>
      <c r="BL44" s="68"/>
      <c r="BM44" s="90"/>
      <c r="BN44" s="90"/>
      <c r="BO44" s="90"/>
      <c r="BP44" s="90"/>
      <c r="BQ44" s="90"/>
      <c r="BR44" s="90"/>
      <c r="BS44" s="90"/>
      <c r="BT44" s="90"/>
      <c r="BU44" s="90"/>
      <c r="BV44" s="90"/>
    </row>
    <row r="45" spans="1:74" x14ac:dyDescent="0.25">
      <c r="A45" s="4" t="s">
        <v>2015</v>
      </c>
      <c r="B45" s="26" t="s">
        <v>2248</v>
      </c>
      <c r="C45" s="2"/>
      <c r="D45" s="2"/>
      <c r="E45" s="2"/>
      <c r="F45" s="2"/>
      <c r="G45" s="2"/>
      <c r="H45" s="2"/>
      <c r="I45" s="2"/>
      <c r="O45" s="26"/>
      <c r="Q45" s="2"/>
      <c r="R45" s="2"/>
      <c r="S45" s="2"/>
      <c r="U45" s="2"/>
      <c r="Y45" s="2"/>
      <c r="Z45" s="2"/>
      <c r="AA45" s="395"/>
      <c r="AB45" s="395"/>
      <c r="AC45" s="395"/>
      <c r="AD45" s="2"/>
      <c r="AE45" s="26" t="s">
        <v>2172</v>
      </c>
      <c r="AF45" s="2"/>
      <c r="AG45" s="2"/>
      <c r="AH45" s="2"/>
      <c r="AI45" s="2"/>
      <c r="AJ45" s="2"/>
      <c r="AK45" s="2"/>
      <c r="AL45" s="2"/>
      <c r="AM45" s="2"/>
      <c r="AN45" s="2"/>
      <c r="AQ45" s="396" t="str">
        <f>IF(BD45=1,"Bitte Auswahl treffen","")</f>
        <v>Bitte Auswahl treffen</v>
      </c>
      <c r="AR45" s="396"/>
      <c r="AS45" s="396"/>
      <c r="AT45" s="396"/>
      <c r="AU45" s="396"/>
      <c r="AV45" s="396"/>
      <c r="AW45" s="396"/>
      <c r="AX45" s="396"/>
      <c r="AY45" s="396"/>
      <c r="AZ45" s="396"/>
      <c r="BA45" s="2"/>
      <c r="BD45" s="36">
        <f>IF(AA45="",1,0)</f>
        <v>1</v>
      </c>
      <c r="BE45" s="36">
        <f>IF(AA45="Ja",1,0)</f>
        <v>0</v>
      </c>
      <c r="BF45" s="5"/>
      <c r="BL45" s="68"/>
      <c r="BM45" s="90"/>
      <c r="BN45" s="90"/>
      <c r="BO45" s="90"/>
      <c r="BP45" s="90"/>
      <c r="BQ45" s="90"/>
      <c r="BR45" s="90"/>
      <c r="BS45" s="90"/>
      <c r="BT45" s="90"/>
      <c r="BU45" s="90"/>
      <c r="BV45" s="90"/>
    </row>
    <row r="46" spans="1:74" ht="15" customHeight="1" x14ac:dyDescent="0.25">
      <c r="A46" s="4"/>
      <c r="K46" s="29"/>
      <c r="L46" s="29"/>
      <c r="M46" s="29"/>
      <c r="O46" s="31"/>
      <c r="AQ46" s="403" t="s">
        <v>2164</v>
      </c>
      <c r="AR46" s="403"/>
      <c r="AS46" s="403"/>
      <c r="AT46" s="403"/>
      <c r="AU46" s="403"/>
      <c r="AV46" s="403"/>
      <c r="AW46" s="403"/>
      <c r="AX46" s="403"/>
      <c r="AY46" s="403"/>
      <c r="AZ46" s="403"/>
      <c r="BA46" s="403"/>
      <c r="BF46" s="5"/>
      <c r="BL46" s="92"/>
      <c r="BM46" s="69"/>
      <c r="BN46" s="69"/>
      <c r="BO46" s="69"/>
      <c r="BP46" s="69"/>
      <c r="BQ46" s="69"/>
      <c r="BR46" s="69"/>
      <c r="BS46" s="69"/>
      <c r="BT46" s="69"/>
      <c r="BU46" s="69"/>
      <c r="BV46" s="69"/>
    </row>
    <row r="47" spans="1:74" ht="15" customHeight="1" x14ac:dyDescent="0.25">
      <c r="A47" s="4"/>
      <c r="B47" s="46" t="str">
        <f>IF(BD45=1,"","Ergebnis:")</f>
        <v/>
      </c>
      <c r="F47" s="410" t="str">
        <f>IF(BD45=1,"",IF(BE45=1,"Leistungsausschluss Stufe 1","Kein Leistungsausschluss"))</f>
        <v/>
      </c>
      <c r="G47" s="410"/>
      <c r="H47" s="410"/>
      <c r="I47" s="410"/>
      <c r="J47" s="410"/>
      <c r="K47" s="410"/>
      <c r="L47" s="410"/>
      <c r="M47" s="410"/>
      <c r="N47" s="410"/>
      <c r="O47" s="31"/>
      <c r="AQ47" s="133"/>
      <c r="AR47" s="133"/>
      <c r="AS47" s="133"/>
      <c r="AT47" s="133"/>
      <c r="AU47" s="133"/>
      <c r="AV47" s="134"/>
      <c r="AW47" s="133"/>
      <c r="AX47" s="135"/>
      <c r="AY47" s="135"/>
      <c r="AZ47" s="135"/>
      <c r="BA47" s="135"/>
      <c r="BF47" s="5"/>
      <c r="BM47" s="69"/>
      <c r="BN47" s="69"/>
      <c r="BO47" s="69"/>
      <c r="BP47" s="69"/>
      <c r="BQ47" s="69"/>
      <c r="BR47" s="69"/>
      <c r="BS47" s="69"/>
      <c r="BT47" s="69"/>
      <c r="BU47" s="69"/>
      <c r="BV47" s="69"/>
    </row>
    <row r="48" spans="1:74" x14ac:dyDescent="0.25">
      <c r="A48" s="4"/>
      <c r="K48" s="29"/>
      <c r="L48" s="29"/>
      <c r="M48" s="29"/>
      <c r="O48" s="31"/>
      <c r="AE48" s="2"/>
      <c r="AF48" s="2"/>
      <c r="AG48" s="2"/>
      <c r="AH48" s="2"/>
      <c r="AI48" s="2"/>
      <c r="AJ48" s="2"/>
      <c r="AK48" s="2"/>
      <c r="AL48" s="2"/>
      <c r="AM48" s="2"/>
      <c r="AN48" s="2"/>
      <c r="AQ48" s="369"/>
      <c r="BF48" s="5"/>
      <c r="BL48" s="92"/>
      <c r="BM48" s="70"/>
      <c r="BN48" s="70"/>
      <c r="BO48" s="70"/>
      <c r="BP48" s="70"/>
      <c r="BQ48" s="70"/>
      <c r="BR48" s="70"/>
      <c r="BS48" s="70"/>
      <c r="BT48" s="70"/>
      <c r="BU48" s="70"/>
      <c r="BV48" s="70"/>
    </row>
    <row r="49" spans="1:74" x14ac:dyDescent="0.25">
      <c r="A49" s="4"/>
      <c r="K49" s="29"/>
      <c r="L49" s="29"/>
      <c r="M49" s="29"/>
      <c r="O49" s="31"/>
      <c r="AE49" s="2"/>
      <c r="AF49" s="2"/>
      <c r="AG49" s="2"/>
      <c r="AH49" s="2"/>
      <c r="AI49" s="2"/>
      <c r="AJ49" s="2"/>
      <c r="AK49" s="2"/>
      <c r="AL49" s="2"/>
      <c r="AM49" s="2"/>
      <c r="AN49" s="2"/>
      <c r="AQ49" s="2"/>
      <c r="BF49" s="5"/>
      <c r="BL49" s="92"/>
      <c r="BM49" s="70"/>
      <c r="BN49" s="70"/>
      <c r="BO49" s="70"/>
      <c r="BP49" s="70"/>
      <c r="BQ49" s="70"/>
      <c r="BR49" s="70"/>
      <c r="BS49" s="70"/>
      <c r="BT49" s="70"/>
      <c r="BU49" s="70"/>
      <c r="BV49" s="70"/>
    </row>
    <row r="50" spans="1:74" ht="32.25" customHeight="1" x14ac:dyDescent="0.25">
      <c r="A50" s="350" t="s">
        <v>2145</v>
      </c>
      <c r="B50" s="430" t="s">
        <v>2249</v>
      </c>
      <c r="C50" s="430"/>
      <c r="D50" s="430"/>
      <c r="E50" s="430"/>
      <c r="F50" s="430"/>
      <c r="G50" s="430"/>
      <c r="H50" s="430"/>
      <c r="I50" s="430"/>
      <c r="J50" s="430"/>
      <c r="K50" s="430"/>
      <c r="L50" s="430"/>
      <c r="M50" s="430"/>
      <c r="N50" s="430"/>
      <c r="O50" s="430"/>
      <c r="P50" s="430"/>
      <c r="Q50" s="430"/>
      <c r="R50" s="430"/>
      <c r="S50" s="430"/>
      <c r="T50" s="430"/>
      <c r="U50" s="430"/>
      <c r="V50" s="430"/>
      <c r="W50" s="430"/>
      <c r="X50" s="430"/>
      <c r="Y50" s="430"/>
      <c r="Z50" s="430"/>
      <c r="AA50" s="430"/>
      <c r="AB50" s="430"/>
      <c r="AC50" s="430"/>
      <c r="AD50" s="430"/>
      <c r="AE50" s="430"/>
      <c r="AF50" s="430"/>
      <c r="AG50" s="430"/>
      <c r="AH50" s="430"/>
      <c r="AI50" s="430"/>
      <c r="AJ50" s="430"/>
      <c r="AK50" s="430"/>
      <c r="AL50" s="430"/>
      <c r="AM50" s="430"/>
      <c r="AN50" s="430"/>
      <c r="AQ50" s="356"/>
      <c r="BF50" s="5"/>
    </row>
    <row r="51" spans="1:74" ht="15" customHeight="1" x14ac:dyDescent="0.25">
      <c r="A51" s="350"/>
      <c r="B51" s="430"/>
      <c r="C51" s="430"/>
      <c r="D51" s="430"/>
      <c r="E51" s="430"/>
      <c r="F51" s="430"/>
      <c r="G51" s="430"/>
      <c r="H51" s="430"/>
      <c r="I51" s="430"/>
      <c r="J51" s="430"/>
      <c r="K51" s="430"/>
      <c r="L51" s="430"/>
      <c r="M51" s="430"/>
      <c r="N51" s="430"/>
      <c r="O51" s="430"/>
      <c r="P51" s="430"/>
      <c r="Q51" s="430"/>
      <c r="R51" s="430"/>
      <c r="S51" s="430"/>
      <c r="T51" s="430"/>
      <c r="U51" s="430"/>
      <c r="V51" s="430"/>
      <c r="W51" s="430"/>
      <c r="X51" s="430"/>
      <c r="Y51" s="430"/>
      <c r="Z51" s="430"/>
      <c r="AA51" s="430"/>
      <c r="AB51" s="430"/>
      <c r="AC51" s="430"/>
      <c r="AD51" s="430"/>
      <c r="AE51" s="430"/>
      <c r="AF51" s="430"/>
      <c r="AG51" s="430"/>
      <c r="AH51" s="430"/>
      <c r="AI51" s="430"/>
      <c r="AJ51" s="430"/>
      <c r="AK51" s="430"/>
      <c r="AL51" s="430"/>
      <c r="AM51" s="430"/>
      <c r="AN51" s="430"/>
      <c r="AQ51" s="356"/>
      <c r="BF51" s="5"/>
    </row>
    <row r="52" spans="1:74" x14ac:dyDescent="0.25">
      <c r="A52" s="350"/>
      <c r="B52" s="366"/>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Q52" s="356"/>
      <c r="BF52" s="5"/>
    </row>
    <row r="53" spans="1:74" ht="83.25" customHeight="1" x14ac:dyDescent="0.25">
      <c r="A53" s="4"/>
      <c r="B53" s="32" t="s">
        <v>2148</v>
      </c>
      <c r="C53" s="2"/>
      <c r="D53" s="2"/>
      <c r="E53" s="2"/>
      <c r="F53" s="2"/>
      <c r="G53" s="2"/>
      <c r="H53" s="2"/>
      <c r="I53" s="2"/>
      <c r="J53" s="2"/>
      <c r="K53" s="2"/>
      <c r="L53" s="2"/>
      <c r="M53" s="2"/>
      <c r="N53" s="2"/>
      <c r="O53" s="351"/>
      <c r="P53" s="351"/>
      <c r="Q53" s="351"/>
      <c r="R53" s="351"/>
      <c r="S53" s="351"/>
      <c r="T53" s="351"/>
      <c r="U53" s="351"/>
      <c r="V53" s="351"/>
      <c r="W53" s="351"/>
      <c r="X53" s="351"/>
      <c r="Y53" s="351"/>
      <c r="Z53" s="431" t="s">
        <v>2150</v>
      </c>
      <c r="AA53" s="431"/>
      <c r="AB53" s="431"/>
      <c r="AC53" s="2"/>
      <c r="AD53" s="431" t="s">
        <v>2151</v>
      </c>
      <c r="AE53" s="431"/>
      <c r="AF53" s="431"/>
      <c r="AG53" s="2"/>
      <c r="AH53" s="432" t="s">
        <v>2152</v>
      </c>
      <c r="AI53" s="432"/>
      <c r="AJ53" s="432"/>
      <c r="AK53" s="2"/>
      <c r="AL53" s="401" t="s">
        <v>2163</v>
      </c>
      <c r="AM53" s="401"/>
      <c r="AN53" s="401"/>
      <c r="AQ53" s="240"/>
      <c r="AR53" s="69"/>
      <c r="AS53" s="69"/>
      <c r="AT53" s="69"/>
      <c r="AU53" s="69"/>
      <c r="AV53" s="69"/>
      <c r="AW53" s="69"/>
      <c r="AX53" s="69"/>
      <c r="AY53" s="69"/>
      <c r="AZ53" s="69"/>
      <c r="BA53" s="69"/>
      <c r="BF53" s="5"/>
    </row>
    <row r="54" spans="1:74" ht="6.95" customHeight="1" x14ac:dyDescent="0.25">
      <c r="A54" s="4"/>
      <c r="B54" s="11"/>
      <c r="C54" s="2"/>
      <c r="D54" s="2"/>
      <c r="E54" s="2"/>
      <c r="F54" s="2"/>
      <c r="G54" s="2"/>
      <c r="H54" s="2"/>
      <c r="I54" s="2"/>
      <c r="J54" s="2"/>
      <c r="K54" s="2"/>
      <c r="L54" s="2"/>
      <c r="M54" s="2"/>
      <c r="N54" s="2"/>
      <c r="O54" s="351"/>
      <c r="P54" s="351"/>
      <c r="Q54" s="351"/>
      <c r="R54" s="351"/>
      <c r="S54" s="351"/>
      <c r="T54" s="351"/>
      <c r="U54" s="351"/>
      <c r="V54" s="351"/>
      <c r="W54" s="351"/>
      <c r="X54" s="351"/>
      <c r="Y54" s="351"/>
      <c r="Z54" s="351"/>
      <c r="AA54" s="351"/>
      <c r="AB54" s="351"/>
      <c r="AC54" s="351"/>
      <c r="AD54" s="351"/>
      <c r="AE54" s="351"/>
      <c r="AF54" s="351"/>
      <c r="AG54" s="2"/>
      <c r="AH54" s="2"/>
      <c r="AI54" s="2"/>
      <c r="AJ54" s="2"/>
      <c r="AK54" s="2"/>
      <c r="AL54" s="2"/>
      <c r="AM54" s="2"/>
      <c r="AN54" s="2"/>
      <c r="AQ54" s="69"/>
      <c r="AR54" s="69"/>
      <c r="AS54" s="69"/>
      <c r="AT54" s="69"/>
      <c r="AU54" s="69"/>
      <c r="AV54" s="69"/>
      <c r="AW54" s="69"/>
      <c r="AX54" s="69"/>
      <c r="AY54" s="69"/>
      <c r="AZ54" s="69"/>
      <c r="BA54" s="69"/>
      <c r="BF54" s="5"/>
    </row>
    <row r="55" spans="1:74" ht="30" customHeight="1" x14ac:dyDescent="0.25">
      <c r="A55" s="4"/>
      <c r="B55" s="26" t="s">
        <v>1930</v>
      </c>
      <c r="C55" s="397"/>
      <c r="D55" s="397"/>
      <c r="E55" s="397"/>
      <c r="F55" s="397"/>
      <c r="G55" s="397"/>
      <c r="H55" s="397"/>
      <c r="I55" s="397"/>
      <c r="J55" s="397"/>
      <c r="K55" s="397"/>
      <c r="L55" s="397"/>
      <c r="M55" s="397"/>
      <c r="N55" s="397"/>
      <c r="O55" s="397"/>
      <c r="P55" s="397"/>
      <c r="Q55" s="397"/>
      <c r="R55" s="397"/>
      <c r="S55" s="397"/>
      <c r="T55" s="397"/>
      <c r="U55" s="397"/>
      <c r="V55" s="397"/>
      <c r="W55" s="397"/>
      <c r="X55" s="397"/>
      <c r="Z55" s="398"/>
      <c r="AA55" s="398"/>
      <c r="AB55" s="398"/>
      <c r="AC55" s="364"/>
      <c r="AD55" s="398"/>
      <c r="AE55" s="398"/>
      <c r="AF55" s="398"/>
      <c r="AG55" s="364"/>
      <c r="AH55" s="398"/>
      <c r="AI55" s="398"/>
      <c r="AJ55" s="398"/>
      <c r="AL55" s="400"/>
      <c r="AM55" s="400"/>
      <c r="AN55" s="400"/>
      <c r="AP55" s="364" t="s">
        <v>2172</v>
      </c>
      <c r="AQ55" s="399" t="str">
        <f>IF(BD55=1,"Bitte Dateneingabe vornehmen",IF(BF55=1,"Leistungsausschluss",""))</f>
        <v/>
      </c>
      <c r="AR55" s="399"/>
      <c r="AS55" s="399"/>
      <c r="AT55" s="399"/>
      <c r="AU55" s="399"/>
      <c r="AV55" s="399"/>
      <c r="AW55" s="399"/>
      <c r="AX55" s="399"/>
      <c r="AY55" s="399"/>
      <c r="AZ55" s="69"/>
      <c r="BA55" s="69"/>
      <c r="BD55" s="36">
        <f>MAX(BG55:BH55)</f>
        <v>0</v>
      </c>
      <c r="BF55" s="5">
        <f>IF(OR(Z55="Ja",AD55="JA",AH55="Ja",AL55="Ja"),1,0)</f>
        <v>0</v>
      </c>
      <c r="BG55" s="5">
        <f>IF(AND(C55="",OR(Z55&lt;&gt;"",AD55&lt;&gt;"",AH55&lt;&gt;"",AL55&lt;&gt;"")),1,0)</f>
        <v>0</v>
      </c>
      <c r="BH55" s="5">
        <f>IF(AND(C55&lt;&gt;"",OR(Z55="",AD55="",AH55="",AL55="")),1,0)</f>
        <v>0</v>
      </c>
      <c r="BI55" s="5">
        <f>IF(AND(C55&lt;&gt;"",BD55=0),1,0)</f>
        <v>0</v>
      </c>
    </row>
    <row r="56" spans="1:74" ht="6.95" customHeight="1" x14ac:dyDescent="0.25">
      <c r="A56" s="4"/>
      <c r="C56" s="25"/>
      <c r="D56" s="25"/>
      <c r="E56" s="25"/>
      <c r="F56" s="25"/>
      <c r="G56" s="25"/>
      <c r="H56" s="25"/>
      <c r="I56" s="25"/>
      <c r="J56" s="25"/>
      <c r="K56" s="25"/>
      <c r="L56" s="25"/>
      <c r="M56" s="25"/>
      <c r="N56" s="25"/>
      <c r="O56" s="25"/>
      <c r="P56" s="25"/>
      <c r="Q56" s="25"/>
      <c r="R56" s="25"/>
      <c r="S56" s="25"/>
      <c r="T56" s="25"/>
      <c r="U56" s="25"/>
      <c r="V56" s="25"/>
      <c r="W56" s="25"/>
      <c r="X56" s="25"/>
      <c r="Y56" s="25"/>
      <c r="Z56" s="365"/>
      <c r="AA56" s="365"/>
      <c r="AB56" s="365"/>
      <c r="AC56" s="365"/>
      <c r="AD56" s="365"/>
      <c r="AE56" s="365"/>
      <c r="AF56" s="365"/>
      <c r="AG56" s="365"/>
      <c r="AH56" s="365"/>
      <c r="AI56" s="365"/>
      <c r="AJ56" s="365"/>
      <c r="AK56" s="25"/>
      <c r="AL56" s="2"/>
      <c r="AM56" s="2"/>
      <c r="AN56" s="2"/>
      <c r="AP56" s="364"/>
      <c r="AQ56" s="355"/>
      <c r="AR56" s="355"/>
      <c r="AS56" s="355"/>
      <c r="AT56" s="355"/>
      <c r="AU56" s="355"/>
      <c r="AV56" s="355"/>
      <c r="AW56" s="355"/>
      <c r="AX56" s="355"/>
      <c r="AY56" s="355"/>
      <c r="AZ56" s="355"/>
      <c r="BA56" s="355"/>
      <c r="BF56" s="5"/>
    </row>
    <row r="57" spans="1:74" ht="30" customHeight="1" x14ac:dyDescent="0.25">
      <c r="A57" s="4"/>
      <c r="B57" s="26" t="s">
        <v>1931</v>
      </c>
      <c r="C57" s="397"/>
      <c r="D57" s="397"/>
      <c r="E57" s="397"/>
      <c r="F57" s="397"/>
      <c r="G57" s="397"/>
      <c r="H57" s="397"/>
      <c r="I57" s="397"/>
      <c r="J57" s="397"/>
      <c r="K57" s="397"/>
      <c r="L57" s="397"/>
      <c r="M57" s="397"/>
      <c r="N57" s="397"/>
      <c r="O57" s="397"/>
      <c r="P57" s="397"/>
      <c r="Q57" s="397"/>
      <c r="R57" s="397"/>
      <c r="S57" s="397"/>
      <c r="T57" s="397"/>
      <c r="U57" s="397"/>
      <c r="V57" s="397"/>
      <c r="W57" s="397"/>
      <c r="X57" s="397"/>
      <c r="Z57" s="398"/>
      <c r="AA57" s="398"/>
      <c r="AB57" s="398"/>
      <c r="AC57" s="364"/>
      <c r="AD57" s="398"/>
      <c r="AE57" s="398"/>
      <c r="AF57" s="398"/>
      <c r="AG57" s="364"/>
      <c r="AH57" s="398"/>
      <c r="AI57" s="398"/>
      <c r="AJ57" s="398"/>
      <c r="AL57" s="400"/>
      <c r="AM57" s="400"/>
      <c r="AN57" s="400"/>
      <c r="AP57" s="364" t="s">
        <v>2172</v>
      </c>
      <c r="AQ57" s="399" t="str">
        <f>IF(BD57=1,"Bitte Dateneingabe vornehmen",IF(BF57=1,"Leistungsausschluss",""))</f>
        <v/>
      </c>
      <c r="AR57" s="399"/>
      <c r="AS57" s="399"/>
      <c r="AT57" s="399"/>
      <c r="AU57" s="399"/>
      <c r="AV57" s="399"/>
      <c r="AW57" s="399"/>
      <c r="AX57" s="399"/>
      <c r="AY57" s="399"/>
      <c r="AZ57" s="69"/>
      <c r="BA57" s="69"/>
      <c r="BD57" s="36">
        <f>MAX(BG57:BH57)</f>
        <v>0</v>
      </c>
      <c r="BF57" s="5">
        <f>IF(OR(Z57="Ja",AD57="JA",AH57="Ja",AL57="Ja"),1,0)</f>
        <v>0</v>
      </c>
      <c r="BG57" s="5">
        <f>IF(AND(C57="",OR(Z57&lt;&gt;"",AD57&lt;&gt;"",AH57&lt;&gt;"",AL57&lt;&gt;"")),1,0)</f>
        <v>0</v>
      </c>
      <c r="BH57" s="5">
        <f>IF(AND(C57&lt;&gt;"",OR(Z57="",AD57="",AH57="",AL57="")),1,0)</f>
        <v>0</v>
      </c>
      <c r="BI57" s="5">
        <f>IF(AND(C57&lt;&gt;"",BD57=0),1,0)</f>
        <v>0</v>
      </c>
    </row>
    <row r="58" spans="1:74" ht="6.95" customHeight="1" x14ac:dyDescent="0.25">
      <c r="A58" s="4"/>
      <c r="C58" s="25"/>
      <c r="D58" s="25"/>
      <c r="E58" s="25"/>
      <c r="F58" s="25"/>
      <c r="G58" s="25"/>
      <c r="H58" s="25"/>
      <c r="I58" s="25"/>
      <c r="J58" s="25"/>
      <c r="K58" s="25"/>
      <c r="L58" s="25"/>
      <c r="M58" s="25"/>
      <c r="N58" s="25"/>
      <c r="O58" s="25"/>
      <c r="P58" s="25"/>
      <c r="Q58" s="25"/>
      <c r="R58" s="25"/>
      <c r="S58" s="25"/>
      <c r="T58" s="25"/>
      <c r="U58" s="25"/>
      <c r="V58" s="25"/>
      <c r="W58" s="25"/>
      <c r="X58" s="25"/>
      <c r="Y58" s="25"/>
      <c r="Z58" s="365"/>
      <c r="AA58" s="365"/>
      <c r="AB58" s="365"/>
      <c r="AC58" s="365"/>
      <c r="AD58" s="365"/>
      <c r="AE58" s="365"/>
      <c r="AF58" s="365"/>
      <c r="AG58" s="365"/>
      <c r="AH58" s="365"/>
      <c r="AI58" s="365"/>
      <c r="AJ58" s="365"/>
      <c r="AK58" s="25"/>
      <c r="AL58" s="2"/>
      <c r="AM58" s="2"/>
      <c r="AN58" s="2"/>
      <c r="AP58" s="364"/>
      <c r="AQ58" s="2"/>
      <c r="AR58" s="2"/>
      <c r="AS58" s="2"/>
      <c r="AT58" s="2"/>
      <c r="AU58" s="2"/>
      <c r="AV58" s="2"/>
      <c r="AW58" s="2"/>
      <c r="AX58" s="2"/>
      <c r="AY58" s="2"/>
      <c r="AZ58" s="2"/>
      <c r="BA58" s="2"/>
      <c r="BF58" s="5"/>
    </row>
    <row r="59" spans="1:74" ht="30" customHeight="1" x14ac:dyDescent="0.25">
      <c r="A59" s="4"/>
      <c r="B59" s="26" t="s">
        <v>1932</v>
      </c>
      <c r="C59" s="397"/>
      <c r="D59" s="397"/>
      <c r="E59" s="397"/>
      <c r="F59" s="397"/>
      <c r="G59" s="397"/>
      <c r="H59" s="397"/>
      <c r="I59" s="397"/>
      <c r="J59" s="397"/>
      <c r="K59" s="397"/>
      <c r="L59" s="397"/>
      <c r="M59" s="397"/>
      <c r="N59" s="397"/>
      <c r="O59" s="397"/>
      <c r="P59" s="397"/>
      <c r="Q59" s="397"/>
      <c r="R59" s="397"/>
      <c r="S59" s="397"/>
      <c r="T59" s="397"/>
      <c r="U59" s="397"/>
      <c r="V59" s="397"/>
      <c r="W59" s="397"/>
      <c r="X59" s="397"/>
      <c r="Z59" s="398"/>
      <c r="AA59" s="398"/>
      <c r="AB59" s="398"/>
      <c r="AC59" s="364"/>
      <c r="AD59" s="398"/>
      <c r="AE59" s="398"/>
      <c r="AF59" s="398"/>
      <c r="AG59" s="364"/>
      <c r="AH59" s="398"/>
      <c r="AI59" s="398"/>
      <c r="AJ59" s="398"/>
      <c r="AL59" s="400"/>
      <c r="AM59" s="400"/>
      <c r="AN59" s="400"/>
      <c r="AP59" s="364" t="s">
        <v>2172</v>
      </c>
      <c r="AQ59" s="399" t="str">
        <f>IF(BD59=1,"Bitte Dateneingabe vornehmen",IF(BF59=1,"Leistungsausschluss",""))</f>
        <v/>
      </c>
      <c r="AR59" s="399"/>
      <c r="AS59" s="399"/>
      <c r="AT59" s="399"/>
      <c r="AU59" s="399"/>
      <c r="AV59" s="399"/>
      <c r="AW59" s="399"/>
      <c r="AX59" s="399"/>
      <c r="AY59" s="399"/>
      <c r="AZ59" s="69"/>
      <c r="BA59" s="69"/>
      <c r="BD59" s="36">
        <f>MAX(BG59:BH59)</f>
        <v>0</v>
      </c>
      <c r="BF59" s="5">
        <f>IF(OR(Z59="Ja",AD59="JA",AH59="Ja",AL59="Ja"),1,0)</f>
        <v>0</v>
      </c>
      <c r="BG59" s="5">
        <f>IF(AND(C59="",OR(Z59&lt;&gt;"",AD59&lt;&gt;"",AH59&lt;&gt;"",AL59&lt;&gt;"")),1,0)</f>
        <v>0</v>
      </c>
      <c r="BH59" s="5">
        <f>IF(AND(C59&lt;&gt;"",OR(Z59="",AD59="",AH59="",AL59="")),1,0)</f>
        <v>0</v>
      </c>
      <c r="BI59" s="5">
        <f>IF(AND(C59&lt;&gt;"",BD59=0),1,0)</f>
        <v>0</v>
      </c>
    </row>
    <row r="60" spans="1:74" ht="6.95" customHeight="1" x14ac:dyDescent="0.25">
      <c r="A60" s="4"/>
      <c r="C60" s="25"/>
      <c r="D60" s="25"/>
      <c r="E60" s="25"/>
      <c r="F60" s="25"/>
      <c r="G60" s="25"/>
      <c r="H60" s="25"/>
      <c r="I60" s="25"/>
      <c r="J60" s="25"/>
      <c r="K60" s="25"/>
      <c r="L60" s="25"/>
      <c r="M60" s="25"/>
      <c r="N60" s="25"/>
      <c r="O60" s="25"/>
      <c r="P60" s="25"/>
      <c r="Q60" s="25"/>
      <c r="R60" s="25"/>
      <c r="S60" s="25"/>
      <c r="T60" s="25"/>
      <c r="U60" s="25"/>
      <c r="V60" s="25"/>
      <c r="W60" s="25"/>
      <c r="X60" s="25"/>
      <c r="Y60" s="25"/>
      <c r="Z60" s="365"/>
      <c r="AA60" s="365"/>
      <c r="AB60" s="365"/>
      <c r="AC60" s="365"/>
      <c r="AD60" s="365"/>
      <c r="AE60" s="365"/>
      <c r="AF60" s="365"/>
      <c r="AG60" s="365"/>
      <c r="AH60" s="365"/>
      <c r="AI60" s="365"/>
      <c r="AJ60" s="365"/>
      <c r="AK60" s="25"/>
      <c r="AL60" s="2"/>
      <c r="AM60" s="2"/>
      <c r="AN60" s="2"/>
      <c r="AP60" s="370"/>
      <c r="AQ60" s="2"/>
      <c r="AR60" s="2"/>
      <c r="AS60" s="2"/>
      <c r="AT60" s="2"/>
      <c r="AU60" s="2"/>
      <c r="AV60" s="2"/>
      <c r="AW60" s="2"/>
      <c r="AX60" s="2"/>
      <c r="AY60" s="2"/>
      <c r="AZ60" s="2"/>
      <c r="BA60" s="2"/>
      <c r="BF60" s="5"/>
    </row>
    <row r="61" spans="1:74" ht="30" customHeight="1" x14ac:dyDescent="0.25">
      <c r="A61" s="4"/>
      <c r="B61" s="26" t="s">
        <v>1933</v>
      </c>
      <c r="C61" s="397"/>
      <c r="D61" s="397"/>
      <c r="E61" s="397"/>
      <c r="F61" s="397"/>
      <c r="G61" s="397"/>
      <c r="H61" s="397"/>
      <c r="I61" s="397"/>
      <c r="J61" s="397"/>
      <c r="K61" s="397"/>
      <c r="L61" s="397"/>
      <c r="M61" s="397"/>
      <c r="N61" s="397"/>
      <c r="O61" s="397"/>
      <c r="P61" s="397"/>
      <c r="Q61" s="397"/>
      <c r="R61" s="397"/>
      <c r="S61" s="397"/>
      <c r="T61" s="397"/>
      <c r="U61" s="397"/>
      <c r="V61" s="397"/>
      <c r="W61" s="397"/>
      <c r="X61" s="397"/>
      <c r="Z61" s="398"/>
      <c r="AA61" s="398"/>
      <c r="AB61" s="398"/>
      <c r="AC61" s="364"/>
      <c r="AD61" s="398"/>
      <c r="AE61" s="398"/>
      <c r="AF61" s="398"/>
      <c r="AG61" s="364"/>
      <c r="AH61" s="398"/>
      <c r="AI61" s="398"/>
      <c r="AJ61" s="398"/>
      <c r="AL61" s="400"/>
      <c r="AM61" s="400"/>
      <c r="AN61" s="400"/>
      <c r="AP61" s="364" t="s">
        <v>2172</v>
      </c>
      <c r="AQ61" s="399" t="str">
        <f>IF(BD61=1,"Bitte Dateneingabe vornehmen",IF(BF61=1,"Leistungsausschluss",""))</f>
        <v/>
      </c>
      <c r="AR61" s="399"/>
      <c r="AS61" s="399"/>
      <c r="AT61" s="399"/>
      <c r="AU61" s="399"/>
      <c r="AV61" s="399"/>
      <c r="AW61" s="399"/>
      <c r="AX61" s="399"/>
      <c r="AY61" s="399"/>
      <c r="AZ61" s="69"/>
      <c r="BA61" s="69"/>
      <c r="BD61" s="36">
        <f>MAX(BG61:BH61)</f>
        <v>0</v>
      </c>
      <c r="BF61" s="5">
        <f>IF(OR(Z61="Ja",AD61="JA",AH61="Ja",AL61="Ja"),1,0)</f>
        <v>0</v>
      </c>
      <c r="BG61" s="5">
        <f>IF(AND(C61="",OR(Z61&lt;&gt;"",AD61&lt;&gt;"",AH61&lt;&gt;"",AL61&lt;&gt;"")),1,0)</f>
        <v>0</v>
      </c>
      <c r="BH61" s="5">
        <f>IF(AND(C61&lt;&gt;"",OR(Z61="",AD61="",AH61="",AL61="")),1,0)</f>
        <v>0</v>
      </c>
      <c r="BI61" s="5">
        <f>IF(AND(C61&lt;&gt;"",BD61=0),1,0)</f>
        <v>0</v>
      </c>
    </row>
    <row r="62" spans="1:74" ht="6.95" customHeight="1" x14ac:dyDescent="0.25">
      <c r="A62" s="4"/>
      <c r="C62" s="25"/>
      <c r="D62" s="25"/>
      <c r="E62" s="25"/>
      <c r="F62" s="25"/>
      <c r="G62" s="25"/>
      <c r="H62" s="25"/>
      <c r="I62" s="25"/>
      <c r="J62" s="25"/>
      <c r="K62" s="25"/>
      <c r="L62" s="25"/>
      <c r="M62" s="25"/>
      <c r="N62" s="25"/>
      <c r="O62" s="25"/>
      <c r="P62" s="25"/>
      <c r="Q62" s="25"/>
      <c r="R62" s="25"/>
      <c r="S62" s="25"/>
      <c r="T62" s="25"/>
      <c r="U62" s="25"/>
      <c r="V62" s="25"/>
      <c r="W62" s="25"/>
      <c r="X62" s="25"/>
      <c r="Y62" s="25"/>
      <c r="Z62" s="365"/>
      <c r="AA62" s="365"/>
      <c r="AB62" s="365"/>
      <c r="AC62" s="365"/>
      <c r="AD62" s="365"/>
      <c r="AE62" s="365"/>
      <c r="AF62" s="365"/>
      <c r="AG62" s="365"/>
      <c r="AH62" s="365"/>
      <c r="AI62" s="365"/>
      <c r="AJ62" s="365"/>
      <c r="AK62" s="25"/>
      <c r="AL62" s="2"/>
      <c r="AM62" s="2"/>
      <c r="AN62" s="2"/>
      <c r="AP62" s="364"/>
      <c r="AQ62" s="2"/>
      <c r="AR62" s="2"/>
      <c r="AS62" s="2"/>
      <c r="AT62" s="2"/>
      <c r="AU62" s="2"/>
      <c r="AV62" s="2"/>
      <c r="AW62" s="2"/>
      <c r="AX62" s="2"/>
      <c r="AY62" s="2"/>
      <c r="AZ62" s="2"/>
      <c r="BA62" s="2"/>
      <c r="BF62" s="5"/>
    </row>
    <row r="63" spans="1:74" ht="30" customHeight="1" x14ac:dyDescent="0.25">
      <c r="A63" s="4"/>
      <c r="B63" s="26" t="s">
        <v>1934</v>
      </c>
      <c r="C63" s="397"/>
      <c r="D63" s="397"/>
      <c r="E63" s="397"/>
      <c r="F63" s="397"/>
      <c r="G63" s="397"/>
      <c r="H63" s="397"/>
      <c r="I63" s="397"/>
      <c r="J63" s="397"/>
      <c r="K63" s="397"/>
      <c r="L63" s="397"/>
      <c r="M63" s="397"/>
      <c r="N63" s="397"/>
      <c r="O63" s="397"/>
      <c r="P63" s="397"/>
      <c r="Q63" s="397"/>
      <c r="R63" s="397"/>
      <c r="S63" s="397"/>
      <c r="T63" s="397"/>
      <c r="U63" s="397"/>
      <c r="V63" s="397"/>
      <c r="W63" s="397"/>
      <c r="X63" s="397"/>
      <c r="Z63" s="398"/>
      <c r="AA63" s="398"/>
      <c r="AB63" s="398"/>
      <c r="AC63" s="364"/>
      <c r="AD63" s="398"/>
      <c r="AE63" s="398"/>
      <c r="AF63" s="398"/>
      <c r="AG63" s="364"/>
      <c r="AH63" s="398"/>
      <c r="AI63" s="398"/>
      <c r="AJ63" s="398"/>
      <c r="AL63" s="400"/>
      <c r="AM63" s="400"/>
      <c r="AN63" s="400"/>
      <c r="AP63" s="364" t="s">
        <v>2172</v>
      </c>
      <c r="AQ63" s="399" t="str">
        <f>IF(BD63=1,"Bitte Dateneingabe vornehmen",IF(BF63=1,"Leistungsausschluss",""))</f>
        <v/>
      </c>
      <c r="AR63" s="399"/>
      <c r="AS63" s="399"/>
      <c r="AT63" s="399"/>
      <c r="AU63" s="399"/>
      <c r="AV63" s="399"/>
      <c r="AW63" s="399"/>
      <c r="AX63" s="399"/>
      <c r="AY63" s="399"/>
      <c r="AZ63" s="69"/>
      <c r="BA63" s="69"/>
      <c r="BD63" s="36">
        <f>MAX(BG63:BH63)</f>
        <v>0</v>
      </c>
      <c r="BF63" s="5">
        <f>IF(OR(Z63="Ja",AD63="JA",AH63="Ja",AL63="Ja"),1,0)</f>
        <v>0</v>
      </c>
      <c r="BG63" s="5">
        <f>IF(AND(C63="",OR(Z63&lt;&gt;"",AD63&lt;&gt;"",AH63&lt;&gt;"",AL63&lt;&gt;"")),1,0)</f>
        <v>0</v>
      </c>
      <c r="BH63" s="5">
        <f>IF(AND(C63&lt;&gt;"",OR(Z63="",AD63="",AH63="",AL63="")),1,0)</f>
        <v>0</v>
      </c>
      <c r="BI63" s="245">
        <f>IF(AND(C63&lt;&gt;"",BD63=0),1,0)</f>
        <v>0</v>
      </c>
    </row>
    <row r="64" spans="1:74" ht="6.95" customHeight="1" x14ac:dyDescent="0.25">
      <c r="A64" s="4"/>
      <c r="O64" s="26"/>
      <c r="U64" s="2"/>
      <c r="Y64" s="2"/>
      <c r="Z64" s="2"/>
      <c r="AA64" s="2"/>
      <c r="AB64" s="2"/>
      <c r="AI64" s="2"/>
      <c r="AJ64" s="68"/>
      <c r="AQ64" s="2"/>
      <c r="BI64" s="5">
        <f>MAX(BI55:BI63)</f>
        <v>0</v>
      </c>
    </row>
    <row r="65" spans="1:58" x14ac:dyDescent="0.25">
      <c r="A65" s="4"/>
      <c r="O65" s="26"/>
      <c r="U65" s="2"/>
      <c r="Y65" s="2"/>
      <c r="Z65" s="2"/>
      <c r="AA65" s="2"/>
      <c r="AB65" s="2"/>
      <c r="AI65" s="2"/>
      <c r="AJ65" s="68"/>
      <c r="AQ65" s="2"/>
    </row>
    <row r="66" spans="1:58" x14ac:dyDescent="0.25">
      <c r="A66" s="4"/>
      <c r="B66" s="26" t="s">
        <v>2171</v>
      </c>
      <c r="O66" s="26"/>
      <c r="U66" s="2"/>
      <c r="Y66" s="2"/>
      <c r="Z66" s="395"/>
      <c r="AA66" s="395"/>
      <c r="AB66" s="395"/>
      <c r="AI66" s="2"/>
      <c r="AJ66" s="68"/>
      <c r="AL66" s="2"/>
      <c r="AM66" s="2"/>
      <c r="AN66" s="2"/>
      <c r="AQ66" s="396" t="str">
        <f>IF(BD66=1,"Bitte Auswahl treffen","")</f>
        <v>Bitte Auswahl treffen</v>
      </c>
      <c r="AR66" s="396"/>
      <c r="AS66" s="396"/>
      <c r="AT66" s="396"/>
      <c r="AU66" s="396"/>
      <c r="AV66" s="396"/>
      <c r="AW66" s="396"/>
      <c r="AX66" s="396"/>
      <c r="AY66" s="396"/>
      <c r="AZ66" s="396"/>
      <c r="BA66" s="2"/>
      <c r="BD66" s="36">
        <f>IF(Z66="",1,0)</f>
        <v>1</v>
      </c>
    </row>
    <row r="67" spans="1:58" x14ac:dyDescent="0.25">
      <c r="A67" s="4"/>
      <c r="B67" s="26" t="s">
        <v>2267</v>
      </c>
      <c r="O67" s="26"/>
      <c r="U67" s="2"/>
      <c r="Y67" s="2"/>
      <c r="Z67" s="2"/>
      <c r="AA67" s="2"/>
      <c r="AB67" s="2"/>
      <c r="AI67" s="2"/>
      <c r="AJ67" s="68"/>
      <c r="AQ67" s="2"/>
    </row>
    <row r="68" spans="1:58" x14ac:dyDescent="0.25">
      <c r="A68" s="4"/>
      <c r="O68" s="26"/>
      <c r="U68" s="2"/>
      <c r="Y68" s="2"/>
      <c r="Z68" s="2"/>
      <c r="AA68" s="2"/>
      <c r="AB68" s="2"/>
      <c r="AI68" s="2"/>
      <c r="AJ68" s="68"/>
      <c r="AQ68" s="2"/>
    </row>
    <row r="69" spans="1:58" ht="46.5" customHeight="1" x14ac:dyDescent="0.25">
      <c r="A69" s="4"/>
      <c r="B69" s="425" t="s">
        <v>2190</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25"/>
      <c r="AD69" s="425"/>
      <c r="AE69" s="425"/>
      <c r="AF69" s="425"/>
      <c r="AG69" s="425"/>
      <c r="AH69" s="425"/>
      <c r="AI69" s="425"/>
      <c r="AJ69" s="425"/>
      <c r="AK69" s="425"/>
      <c r="AL69" s="425"/>
      <c r="AM69" s="425"/>
      <c r="AN69" s="425"/>
      <c r="AO69" s="425"/>
      <c r="AP69" s="425"/>
      <c r="AQ69" s="2"/>
    </row>
    <row r="70" spans="1:58" x14ac:dyDescent="0.25">
      <c r="A70" s="4"/>
      <c r="O70" s="26"/>
      <c r="U70" s="2"/>
      <c r="Y70" s="2"/>
      <c r="Z70" s="2"/>
      <c r="AA70" s="2"/>
      <c r="AB70" s="2"/>
      <c r="AI70" s="2"/>
      <c r="AJ70" s="68"/>
      <c r="AQ70" s="2"/>
    </row>
    <row r="71" spans="1:58" ht="15" customHeight="1" x14ac:dyDescent="0.25">
      <c r="A71" s="4"/>
      <c r="B71" s="430" t="s">
        <v>2230</v>
      </c>
      <c r="C71" s="430"/>
      <c r="D71" s="430"/>
      <c r="E71" s="430"/>
      <c r="F71" s="430"/>
      <c r="G71" s="430"/>
      <c r="H71" s="430"/>
      <c r="I71" s="430"/>
      <c r="J71" s="430"/>
      <c r="K71" s="430"/>
      <c r="L71" s="430"/>
      <c r="M71" s="430"/>
      <c r="N71" s="430"/>
      <c r="O71" s="430"/>
      <c r="P71" s="430"/>
      <c r="Q71" s="430"/>
      <c r="R71" s="430"/>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Q71" s="424" t="s">
        <v>2153</v>
      </c>
      <c r="AR71" s="424"/>
      <c r="AS71" s="424"/>
      <c r="AT71" s="424"/>
      <c r="AU71" s="424"/>
      <c r="AV71" s="424"/>
      <c r="AW71" s="424"/>
      <c r="AX71" s="424"/>
      <c r="AY71" s="424"/>
      <c r="AZ71" s="424"/>
      <c r="BA71" s="424"/>
    </row>
    <row r="72" spans="1:58" x14ac:dyDescent="0.25">
      <c r="A72" s="4"/>
      <c r="B72" s="430"/>
      <c r="C72" s="430"/>
      <c r="D72" s="430"/>
      <c r="E72" s="430"/>
      <c r="F72" s="430"/>
      <c r="G72" s="430"/>
      <c r="H72" s="430"/>
      <c r="I72" s="430"/>
      <c r="J72" s="430"/>
      <c r="K72" s="430"/>
      <c r="L72" s="430"/>
      <c r="M72" s="430"/>
      <c r="N72" s="430"/>
      <c r="O72" s="430"/>
      <c r="P72" s="430"/>
      <c r="Q72" s="430"/>
      <c r="R72" s="430"/>
      <c r="S72" s="430"/>
      <c r="T72" s="430"/>
      <c r="U72" s="430"/>
      <c r="V72" s="430"/>
      <c r="W72" s="430"/>
      <c r="X72" s="430"/>
      <c r="Y72" s="430"/>
      <c r="Z72" s="430"/>
      <c r="AA72" s="430"/>
      <c r="AB72" s="430"/>
      <c r="AC72" s="430"/>
      <c r="AD72" s="430"/>
      <c r="AE72" s="430"/>
      <c r="AF72" s="430"/>
      <c r="AG72" s="430"/>
      <c r="AH72" s="430"/>
      <c r="AI72" s="430"/>
      <c r="AJ72" s="430"/>
      <c r="AK72" s="430"/>
      <c r="AL72" s="430"/>
      <c r="AM72" s="430"/>
      <c r="AN72" s="430"/>
      <c r="AQ72" s="241" t="s">
        <v>2049</v>
      </c>
      <c r="AR72" s="355"/>
      <c r="AS72" s="355"/>
      <c r="AT72" s="355"/>
      <c r="AU72" s="355"/>
      <c r="AV72" s="355"/>
      <c r="AW72" s="355"/>
      <c r="AX72" s="355"/>
      <c r="AY72" s="355"/>
      <c r="AZ72" s="355"/>
      <c r="BA72" s="355"/>
      <c r="BF72" s="5"/>
    </row>
    <row r="73" spans="1:58" ht="36" customHeight="1" x14ac:dyDescent="0.25">
      <c r="A73" s="4"/>
      <c r="B73" s="430"/>
      <c r="C73" s="430"/>
      <c r="D73" s="430"/>
      <c r="E73" s="430"/>
      <c r="F73" s="430"/>
      <c r="G73" s="430"/>
      <c r="H73" s="430"/>
      <c r="I73" s="430"/>
      <c r="J73" s="430"/>
      <c r="K73" s="430"/>
      <c r="L73" s="430"/>
      <c r="M73" s="430"/>
      <c r="N73" s="430"/>
      <c r="O73" s="430"/>
      <c r="P73" s="430"/>
      <c r="Q73" s="430"/>
      <c r="R73" s="430"/>
      <c r="S73" s="430"/>
      <c r="T73" s="430"/>
      <c r="U73" s="430"/>
      <c r="V73" s="430"/>
      <c r="W73" s="430"/>
      <c r="X73" s="430"/>
      <c r="Y73" s="430"/>
      <c r="Z73" s="430"/>
      <c r="AA73" s="430"/>
      <c r="AB73" s="430"/>
      <c r="AC73" s="430"/>
      <c r="AD73" s="430"/>
      <c r="AE73" s="430"/>
      <c r="AF73" s="430"/>
      <c r="AG73" s="430"/>
      <c r="AH73" s="430"/>
      <c r="AI73" s="430"/>
      <c r="AJ73" s="430"/>
      <c r="AK73" s="430"/>
      <c r="AL73" s="430"/>
      <c r="AM73" s="430"/>
      <c r="AN73" s="430"/>
      <c r="AQ73" s="91" t="s">
        <v>2047</v>
      </c>
      <c r="AR73" s="91"/>
      <c r="AS73" s="91"/>
      <c r="AT73" s="91"/>
      <c r="AU73" s="91"/>
      <c r="AV73" s="91"/>
      <c r="AW73" s="91" t="s">
        <v>2048</v>
      </c>
      <c r="AX73" s="355"/>
      <c r="AY73" s="355"/>
      <c r="AZ73" s="355"/>
      <c r="BA73" s="355"/>
      <c r="BF73" s="5"/>
    </row>
    <row r="74" spans="1:58" ht="6.95" customHeight="1" x14ac:dyDescent="0.25">
      <c r="A74" s="4"/>
      <c r="B74" s="2"/>
      <c r="C74" s="2"/>
      <c r="D74" s="2"/>
      <c r="E74" s="2"/>
      <c r="F74" s="2"/>
      <c r="G74" s="2"/>
      <c r="H74" s="2"/>
      <c r="I74" s="2"/>
      <c r="J74" s="2"/>
      <c r="K74" s="2"/>
      <c r="L74" s="2"/>
      <c r="M74" s="2"/>
      <c r="N74" s="2"/>
      <c r="O74" s="2"/>
      <c r="P74" s="2"/>
      <c r="Q74" s="2"/>
      <c r="R74" s="2"/>
      <c r="S74" s="2"/>
      <c r="T74" s="2"/>
      <c r="U74" s="2"/>
      <c r="Y74" s="2"/>
      <c r="Z74" s="2"/>
      <c r="AA74" s="2"/>
      <c r="AB74" s="2"/>
      <c r="AI74" s="2"/>
      <c r="AR74" s="2"/>
      <c r="AS74" s="2"/>
      <c r="AT74" s="2"/>
      <c r="AU74" s="2"/>
      <c r="AV74" s="2"/>
      <c r="AW74" s="2"/>
      <c r="AX74" s="91"/>
      <c r="AY74" s="91"/>
      <c r="AZ74" s="91"/>
      <c r="BA74" s="91"/>
      <c r="BF74" s="5"/>
    </row>
    <row r="75" spans="1:58" x14ac:dyDescent="0.25">
      <c r="A75" s="4"/>
      <c r="B75" s="11" t="s">
        <v>2051</v>
      </c>
      <c r="C75" s="2"/>
      <c r="D75" s="2"/>
      <c r="E75" s="2"/>
      <c r="F75" s="2"/>
      <c r="G75" s="2"/>
      <c r="H75" s="2"/>
      <c r="I75" s="2"/>
      <c r="J75" s="2"/>
      <c r="K75" s="2"/>
      <c r="L75" s="46"/>
      <c r="M75" s="423"/>
      <c r="N75" s="423"/>
      <c r="O75" s="423"/>
      <c r="P75" s="423"/>
      <c r="Q75" s="423"/>
      <c r="R75" s="423"/>
      <c r="S75" s="423"/>
      <c r="T75" s="423"/>
      <c r="U75" s="423"/>
      <c r="V75" s="423"/>
      <c r="X75" s="26" t="s">
        <v>2172</v>
      </c>
      <c r="Y75" s="2"/>
      <c r="Z75" s="2"/>
      <c r="AA75" s="2"/>
      <c r="AB75" s="2"/>
      <c r="AH75" s="2"/>
      <c r="AI75" s="2"/>
      <c r="AJ75" s="2"/>
      <c r="AK75" s="2"/>
      <c r="AL75" s="2"/>
      <c r="AM75" s="2"/>
      <c r="AN75" s="2"/>
      <c r="AO75" s="2"/>
      <c r="AP75" s="2"/>
      <c r="AQ75" s="396" t="str">
        <f>IF(BD75=1,"Bitte Auswahl treffen","")</f>
        <v>Bitte Auswahl treffen</v>
      </c>
      <c r="AR75" s="396"/>
      <c r="AS75" s="396"/>
      <c r="AT75" s="396"/>
      <c r="AU75" s="396"/>
      <c r="AV75" s="396"/>
      <c r="AW75" s="396"/>
      <c r="AX75" s="396"/>
      <c r="AY75" s="396"/>
      <c r="AZ75" s="396"/>
      <c r="BA75" s="66"/>
      <c r="BD75" s="36">
        <f>IF(M75="",1,0)</f>
        <v>1</v>
      </c>
      <c r="BF75" s="5">
        <f>IFERROR(VLOOKUP(M75,I_SV!P3:Q6,2,FALSE),0)</f>
        <v>0</v>
      </c>
    </row>
    <row r="76" spans="1:58" x14ac:dyDescent="0.25">
      <c r="A76" s="4"/>
      <c r="O76" s="26"/>
      <c r="U76" s="2"/>
      <c r="Y76" s="2"/>
      <c r="Z76" s="2"/>
      <c r="AA76" s="2"/>
      <c r="AB76" s="2"/>
      <c r="AH76" s="2"/>
      <c r="AI76" s="2"/>
      <c r="AJ76" s="2"/>
      <c r="AK76" s="2"/>
      <c r="AL76" s="2"/>
      <c r="AM76" s="2"/>
      <c r="AN76" s="2"/>
      <c r="AO76" s="2"/>
      <c r="AP76" s="2"/>
      <c r="BF76" s="5"/>
    </row>
    <row r="77" spans="1:58" x14ac:dyDescent="0.25">
      <c r="A77" s="4"/>
      <c r="B77" s="46" t="s">
        <v>20</v>
      </c>
      <c r="K77" s="2"/>
      <c r="L77" s="2"/>
      <c r="M77" s="410" t="str">
        <f>IF(BF75&gt;0,IF(BF75=4,"Leistungsausschluss Stufe 1 und 2","Kein Leistungsausschluss"),"")</f>
        <v/>
      </c>
      <c r="N77" s="410"/>
      <c r="O77" s="410"/>
      <c r="P77" s="410"/>
      <c r="Q77" s="410"/>
      <c r="R77" s="410"/>
      <c r="S77" s="410"/>
      <c r="T77" s="410"/>
      <c r="U77" s="410"/>
      <c r="V77" s="410"/>
      <c r="W77" s="410"/>
      <c r="X77" s="410"/>
      <c r="Y77" s="410"/>
      <c r="Z77" s="410"/>
      <c r="AA77" s="2"/>
      <c r="AB77" s="2"/>
      <c r="AQ77" s="354"/>
      <c r="AR77" s="354"/>
      <c r="AS77" s="354"/>
      <c r="AT77" s="354"/>
      <c r="AU77" s="354"/>
      <c r="AV77" s="354"/>
      <c r="AW77" s="354"/>
      <c r="AX77" s="69"/>
      <c r="AY77" s="69"/>
      <c r="AZ77" s="69"/>
      <c r="BA77" s="69"/>
      <c r="BF77" s="5"/>
    </row>
    <row r="78" spans="1:58" x14ac:dyDescent="0.25">
      <c r="A78" s="4"/>
      <c r="K78" s="2"/>
      <c r="L78" s="2"/>
      <c r="M78" s="10" t="str">
        <f>IF(BF75=4,"Ein Antrag für die Härtefallkommission-Stufe 3 (s. Tabelle 'Stufe 2 und 3') ist möglich","")</f>
        <v/>
      </c>
      <c r="O78" s="26"/>
      <c r="Y78" s="2"/>
      <c r="Z78" s="2"/>
      <c r="AA78" s="2"/>
      <c r="AB78" s="2"/>
      <c r="AR78" s="69"/>
      <c r="AS78" s="69"/>
      <c r="AT78" s="69"/>
      <c r="AU78" s="69"/>
      <c r="AV78" s="69"/>
      <c r="AW78" s="69"/>
      <c r="AX78" s="69"/>
      <c r="AY78" s="69"/>
      <c r="AZ78" s="69"/>
      <c r="BA78" s="69"/>
      <c r="BF78" s="5"/>
    </row>
    <row r="79" spans="1:58" x14ac:dyDescent="0.25">
      <c r="A79" s="4"/>
      <c r="K79" s="2"/>
      <c r="L79" s="2"/>
      <c r="M79" s="10"/>
      <c r="O79" s="26"/>
      <c r="Y79" s="2"/>
      <c r="Z79" s="2"/>
      <c r="AA79" s="2"/>
      <c r="AB79" s="2"/>
      <c r="AR79" s="69"/>
      <c r="AS79" s="69"/>
      <c r="AT79" s="69"/>
      <c r="AU79" s="69"/>
      <c r="AV79" s="69"/>
      <c r="AW79" s="69"/>
      <c r="AX79" s="69"/>
      <c r="AY79" s="69"/>
      <c r="AZ79" s="69"/>
      <c r="BA79" s="69"/>
      <c r="BF79" s="5"/>
    </row>
    <row r="80" spans="1:58" x14ac:dyDescent="0.25">
      <c r="A80" s="426" t="s">
        <v>2251</v>
      </c>
      <c r="B80" s="26" t="s">
        <v>2012</v>
      </c>
      <c r="K80" s="2"/>
      <c r="L80" s="2"/>
      <c r="M80" s="2"/>
      <c r="N80" s="2"/>
      <c r="O80" s="2"/>
      <c r="P80" s="2"/>
      <c r="Q80" s="2"/>
      <c r="R80" s="2"/>
      <c r="T80" s="2"/>
      <c r="U80" s="2"/>
      <c r="V80" s="2"/>
      <c r="W80" s="2"/>
      <c r="X80" s="2"/>
      <c r="Y80" s="2"/>
      <c r="Z80" s="2"/>
      <c r="AA80" s="2"/>
      <c r="AB80" s="2"/>
      <c r="AC80" s="2"/>
      <c r="AD80" s="2"/>
      <c r="AE80" s="429"/>
      <c r="AF80" s="429"/>
      <c r="AG80" s="429"/>
      <c r="AH80" s="429"/>
      <c r="AI80" s="429"/>
      <c r="AJ80" s="26" t="s">
        <v>69</v>
      </c>
      <c r="AQ80" s="396" t="str">
        <f>IF(BD80=1,"Bitte Dateneingabe vornehmen","")</f>
        <v>Bitte Dateneingabe vornehmen</v>
      </c>
      <c r="AR80" s="396"/>
      <c r="AS80" s="396"/>
      <c r="AT80" s="396"/>
      <c r="AU80" s="396"/>
      <c r="AV80" s="396"/>
      <c r="AW80" s="396"/>
      <c r="AX80" s="396"/>
      <c r="AY80" s="396"/>
      <c r="AZ80" s="396"/>
      <c r="BA80" s="89"/>
      <c r="BB80" s="2"/>
      <c r="BC80" s="2"/>
      <c r="BD80" s="36">
        <f>IF(AE80="",1,0)</f>
        <v>1</v>
      </c>
      <c r="BF80" s="5"/>
    </row>
    <row r="81" spans="1:58" x14ac:dyDescent="0.25">
      <c r="A81" s="426"/>
      <c r="K81" s="2"/>
      <c r="L81" s="2"/>
      <c r="M81" s="67"/>
      <c r="N81" s="67"/>
      <c r="O81" s="67"/>
      <c r="P81" s="67"/>
      <c r="Q81" s="67"/>
      <c r="T81" s="2"/>
      <c r="U81" s="2"/>
      <c r="V81" s="2"/>
      <c r="W81" s="2"/>
      <c r="X81" s="2"/>
      <c r="Y81" s="29"/>
      <c r="Z81" s="29"/>
      <c r="AA81" s="29"/>
      <c r="AB81" s="29"/>
      <c r="AC81" s="29"/>
      <c r="AD81" s="29"/>
      <c r="AE81" s="29"/>
      <c r="AF81" s="29"/>
      <c r="AG81" s="29"/>
      <c r="AH81" s="29"/>
      <c r="AQ81" s="2"/>
      <c r="AR81" s="89"/>
      <c r="AS81" s="89"/>
      <c r="AT81" s="89"/>
      <c r="AU81" s="89"/>
      <c r="AV81" s="89"/>
      <c r="AW81" s="89"/>
      <c r="AX81" s="89"/>
      <c r="AY81" s="89"/>
      <c r="AZ81" s="89"/>
      <c r="BA81" s="89"/>
      <c r="BB81" s="2"/>
      <c r="BC81" s="2"/>
      <c r="BF81" s="5"/>
    </row>
    <row r="82" spans="1:58" x14ac:dyDescent="0.25">
      <c r="A82" s="426"/>
      <c r="B82" s="89" t="s">
        <v>2061</v>
      </c>
      <c r="K82" s="2"/>
      <c r="L82" s="2"/>
      <c r="M82" s="67"/>
      <c r="N82" s="67"/>
      <c r="O82" s="67"/>
      <c r="P82" s="67"/>
      <c r="Q82" s="67"/>
      <c r="T82" s="2"/>
      <c r="U82" s="2"/>
      <c r="V82" s="2"/>
      <c r="W82" s="2"/>
      <c r="X82" s="2"/>
      <c r="Y82" s="29"/>
      <c r="Z82" s="29"/>
      <c r="AA82" s="29"/>
      <c r="AB82" s="29"/>
      <c r="AC82" s="29"/>
      <c r="AD82" s="29"/>
      <c r="AE82" s="2"/>
      <c r="AF82" s="2"/>
      <c r="AG82" s="2"/>
      <c r="AH82" s="2"/>
      <c r="AI82" s="2"/>
      <c r="AJ82" s="2"/>
      <c r="AK82" s="2"/>
      <c r="AL82" s="2"/>
      <c r="AM82" s="2"/>
      <c r="AN82" s="2"/>
      <c r="AQ82" s="89"/>
      <c r="AR82" s="89"/>
      <c r="AS82" s="89"/>
      <c r="AT82" s="89"/>
      <c r="AU82" s="89"/>
      <c r="AV82" s="89"/>
      <c r="AW82" s="89"/>
      <c r="AX82" s="89"/>
      <c r="AY82" s="89"/>
      <c r="AZ82" s="89"/>
      <c r="BA82" s="89"/>
      <c r="BF82" s="5"/>
    </row>
    <row r="83" spans="1:58" x14ac:dyDescent="0.25">
      <c r="A83" s="426"/>
      <c r="B83" s="89" t="s">
        <v>2050</v>
      </c>
      <c r="K83" s="2"/>
      <c r="L83" s="2"/>
      <c r="M83" s="67"/>
      <c r="N83" s="67"/>
      <c r="O83" s="67"/>
      <c r="P83" s="67"/>
      <c r="Q83" s="67"/>
      <c r="T83" s="2"/>
      <c r="U83" s="2"/>
      <c r="V83" s="2"/>
      <c r="W83" s="2"/>
      <c r="X83" s="2"/>
      <c r="Y83" s="29"/>
      <c r="Z83" s="2"/>
      <c r="AA83" s="2"/>
      <c r="AB83" s="2"/>
      <c r="AC83" s="29"/>
      <c r="AD83" s="29"/>
      <c r="AE83" s="29"/>
      <c r="AF83" s="29"/>
      <c r="AG83" s="29"/>
      <c r="AH83" s="29"/>
      <c r="AQ83" s="89"/>
      <c r="AR83" s="89"/>
      <c r="AS83" s="89"/>
      <c r="AT83" s="89"/>
      <c r="AU83" s="89"/>
      <c r="AV83" s="89"/>
      <c r="AW83" s="89"/>
      <c r="AX83" s="89"/>
      <c r="AY83" s="89"/>
      <c r="AZ83" s="89"/>
      <c r="BA83" s="89"/>
      <c r="BF83" s="5"/>
    </row>
    <row r="84" spans="1:58" x14ac:dyDescent="0.25">
      <c r="A84" s="4"/>
      <c r="O84" s="26"/>
      <c r="BF84" s="5"/>
    </row>
    <row r="85" spans="1:58" x14ac:dyDescent="0.25">
      <c r="B85" s="26" t="s">
        <v>1929</v>
      </c>
      <c r="O85" s="26"/>
      <c r="S85" s="2"/>
      <c r="T85" s="2"/>
      <c r="U85" s="2"/>
      <c r="V85" s="2"/>
      <c r="W85" s="2"/>
      <c r="X85" s="2"/>
      <c r="Y85" s="2"/>
      <c r="Z85" s="2"/>
      <c r="AA85" s="2"/>
      <c r="AE85" s="421"/>
      <c r="AF85" s="421"/>
      <c r="AG85" s="421"/>
      <c r="AH85" s="421"/>
      <c r="AI85" s="421"/>
      <c r="AJ85" s="421"/>
      <c r="AK85" s="421"/>
      <c r="AL85" s="25"/>
      <c r="AQ85" s="410" t="str">
        <f>IF(BD85=1,"Bitte Dateneingabe vornehmen","")</f>
        <v>Bitte Dateneingabe vornehmen</v>
      </c>
      <c r="AR85" s="410"/>
      <c r="AS85" s="410"/>
      <c r="AT85" s="410"/>
      <c r="AU85" s="410"/>
      <c r="AV85" s="410"/>
      <c r="AW85" s="410"/>
      <c r="AX85" s="410"/>
      <c r="AY85" s="410"/>
      <c r="AZ85" s="410"/>
      <c r="BD85" s="36">
        <f>IF(AE85="",1,0)</f>
        <v>1</v>
      </c>
      <c r="BF85" s="5"/>
    </row>
    <row r="86" spans="1:58" ht="6.95" customHeight="1" x14ac:dyDescent="0.25">
      <c r="O86" s="26"/>
      <c r="S86" s="2"/>
      <c r="T86" s="2"/>
      <c r="U86" s="2"/>
      <c r="V86" s="2"/>
      <c r="W86" s="2"/>
      <c r="X86" s="2"/>
      <c r="Y86" s="2"/>
      <c r="Z86" s="2"/>
      <c r="AA86" s="2"/>
      <c r="BF86" s="5"/>
    </row>
    <row r="87" spans="1:58" x14ac:dyDescent="0.25">
      <c r="B87" s="26" t="s">
        <v>1928</v>
      </c>
      <c r="O87" s="26"/>
      <c r="S87" s="2"/>
      <c r="T87" s="2"/>
      <c r="U87" s="2"/>
      <c r="V87" s="2"/>
      <c r="W87" s="2"/>
      <c r="X87" s="2"/>
      <c r="Y87" s="2"/>
      <c r="Z87" s="2"/>
      <c r="AA87" s="2"/>
      <c r="AE87" s="421"/>
      <c r="AF87" s="421"/>
      <c r="AG87" s="421"/>
      <c r="AH87" s="421"/>
      <c r="AI87" s="421"/>
      <c r="AJ87" s="421"/>
      <c r="AK87" s="421"/>
      <c r="AL87" s="25"/>
      <c r="AQ87" s="410" t="str">
        <f>IF(BD87=1,"Bitte Dateneingabe vornehmen","")</f>
        <v>Bitte Dateneingabe vornehmen</v>
      </c>
      <c r="AR87" s="410"/>
      <c r="AS87" s="410"/>
      <c r="AT87" s="410"/>
      <c r="AU87" s="410"/>
      <c r="AV87" s="410"/>
      <c r="AW87" s="410"/>
      <c r="AX87" s="410"/>
      <c r="AY87" s="410"/>
      <c r="AZ87" s="410"/>
      <c r="BD87" s="36">
        <f>IF(AE87="",1,0)</f>
        <v>1</v>
      </c>
      <c r="BF87" s="5"/>
    </row>
    <row r="88" spans="1:58" ht="6.95" customHeight="1" x14ac:dyDescent="0.25">
      <c r="O88" s="26"/>
      <c r="BF88" s="5"/>
    </row>
    <row r="89" spans="1:58" x14ac:dyDescent="0.25">
      <c r="A89" s="4"/>
      <c r="B89" s="407" t="s">
        <v>1901</v>
      </c>
      <c r="C89" s="407"/>
      <c r="D89" s="407"/>
      <c r="E89" s="407"/>
      <c r="F89" s="407"/>
      <c r="G89" s="407"/>
      <c r="H89" s="407"/>
      <c r="I89" s="407"/>
      <c r="J89" s="407"/>
      <c r="K89" s="407"/>
      <c r="L89" s="407"/>
      <c r="M89" s="407"/>
      <c r="N89" s="407"/>
      <c r="O89" s="407"/>
      <c r="P89" s="407"/>
      <c r="Q89" s="407"/>
      <c r="R89" s="407"/>
      <c r="S89" s="407"/>
      <c r="T89" s="407"/>
      <c r="U89" s="407"/>
      <c r="V89" s="407"/>
      <c r="W89" s="407"/>
      <c r="X89" s="407"/>
      <c r="Y89" s="407"/>
      <c r="Z89" s="407"/>
      <c r="AA89" s="407"/>
      <c r="AB89" s="407"/>
      <c r="AC89" s="407"/>
      <c r="AE89" s="395"/>
      <c r="AF89" s="395"/>
      <c r="AG89" s="395"/>
      <c r="AQ89" s="410" t="str">
        <f>IF(BD89=1,"Bitte Auswahl treffen","")</f>
        <v>Bitte Auswahl treffen</v>
      </c>
      <c r="AR89" s="410"/>
      <c r="AS89" s="410"/>
      <c r="AT89" s="410"/>
      <c r="AU89" s="410"/>
      <c r="AV89" s="410"/>
      <c r="AW89" s="410"/>
      <c r="AX89" s="410"/>
      <c r="AY89" s="410"/>
      <c r="AZ89" s="410"/>
      <c r="BD89" s="36">
        <f>IF(AE89="",1,0)</f>
        <v>1</v>
      </c>
      <c r="BF89" s="5"/>
    </row>
    <row r="90" spans="1:58" x14ac:dyDescent="0.25">
      <c r="A90" s="4"/>
      <c r="B90" s="407"/>
      <c r="C90" s="407"/>
      <c r="D90" s="407"/>
      <c r="E90" s="407"/>
      <c r="F90" s="407"/>
      <c r="G90" s="407"/>
      <c r="H90" s="407"/>
      <c r="I90" s="407"/>
      <c r="J90" s="407"/>
      <c r="K90" s="407"/>
      <c r="L90" s="407"/>
      <c r="M90" s="407"/>
      <c r="N90" s="407"/>
      <c r="O90" s="407"/>
      <c r="P90" s="407"/>
      <c r="Q90" s="407"/>
      <c r="R90" s="407"/>
      <c r="S90" s="407"/>
      <c r="T90" s="407"/>
      <c r="U90" s="407"/>
      <c r="V90" s="407"/>
      <c r="W90" s="407"/>
      <c r="X90" s="407"/>
      <c r="Y90" s="407"/>
      <c r="Z90" s="407"/>
      <c r="AA90" s="407"/>
      <c r="AB90" s="407"/>
      <c r="AC90" s="407"/>
      <c r="BF90" s="5"/>
    </row>
    <row r="91" spans="1:58" ht="6.95" customHeight="1" x14ac:dyDescent="0.25">
      <c r="A91" s="4"/>
      <c r="O91" s="26"/>
      <c r="BF91" s="5"/>
    </row>
    <row r="92" spans="1:58" x14ac:dyDescent="0.25">
      <c r="A92" s="4"/>
      <c r="B92" s="422" t="s">
        <v>1898</v>
      </c>
      <c r="C92" s="422"/>
      <c r="D92" s="422"/>
      <c r="E92" s="422"/>
      <c r="F92" s="422"/>
      <c r="G92" s="422"/>
      <c r="H92" s="422"/>
      <c r="I92" s="422"/>
      <c r="J92" s="422"/>
      <c r="K92" s="422"/>
      <c r="L92" s="422"/>
      <c r="M92" s="422"/>
      <c r="N92" s="422"/>
      <c r="O92" s="422"/>
      <c r="P92" s="422"/>
      <c r="Q92" s="422"/>
      <c r="R92" s="422"/>
      <c r="S92" s="422"/>
      <c r="T92" s="422"/>
      <c r="U92" s="422"/>
      <c r="V92" s="422"/>
      <c r="W92" s="422"/>
      <c r="X92" s="422"/>
      <c r="Y92" s="422"/>
      <c r="Z92" s="422"/>
      <c r="AA92" s="422"/>
      <c r="AB92" s="422"/>
      <c r="AC92" s="422"/>
      <c r="AE92" s="395"/>
      <c r="AF92" s="395"/>
      <c r="AG92" s="395"/>
      <c r="AQ92" s="410" t="str">
        <f>IF(BD92=1,"Bitte Auswahl treffen","")</f>
        <v>Bitte Auswahl treffen</v>
      </c>
      <c r="AR92" s="410"/>
      <c r="AS92" s="410"/>
      <c r="AT92" s="410"/>
      <c r="AU92" s="410"/>
      <c r="AV92" s="410"/>
      <c r="AW92" s="410"/>
      <c r="AX92" s="410"/>
      <c r="AY92" s="410"/>
      <c r="AZ92" s="410"/>
      <c r="BD92" s="36">
        <f>IF(AE92="",1,0)</f>
        <v>1</v>
      </c>
      <c r="BF92" s="5"/>
    </row>
    <row r="93" spans="1:58" ht="6.95" customHeight="1" x14ac:dyDescent="0.25">
      <c r="A93" s="4"/>
      <c r="O93" s="26"/>
      <c r="BF93" s="5"/>
    </row>
    <row r="94" spans="1:58" ht="15" customHeight="1" x14ac:dyDescent="0.25">
      <c r="A94" s="4"/>
      <c r="B94" s="407" t="s">
        <v>1899</v>
      </c>
      <c r="C94" s="407"/>
      <c r="D94" s="407"/>
      <c r="E94" s="407"/>
      <c r="F94" s="407"/>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E94" s="395"/>
      <c r="AF94" s="395"/>
      <c r="AG94" s="395"/>
      <c r="AQ94" s="410" t="str">
        <f>IF(BD94=1,"Bitte Auswahl treffen","")</f>
        <v>Bitte Auswahl treffen</v>
      </c>
      <c r="AR94" s="410"/>
      <c r="AS94" s="410"/>
      <c r="AT94" s="410"/>
      <c r="AU94" s="410"/>
      <c r="AV94" s="410"/>
      <c r="AW94" s="410"/>
      <c r="AX94" s="410"/>
      <c r="AY94" s="410"/>
      <c r="AZ94" s="410"/>
      <c r="BD94" s="36">
        <f>IF(AE94="",1,0)</f>
        <v>1</v>
      </c>
      <c r="BF94" s="5"/>
    </row>
    <row r="95" spans="1:58" ht="15" customHeight="1" x14ac:dyDescent="0.25">
      <c r="A95" s="4"/>
      <c r="B95" s="407"/>
      <c r="C95" s="407"/>
      <c r="D95" s="407"/>
      <c r="E95" s="407"/>
      <c r="F95" s="407"/>
      <c r="G95" s="407"/>
      <c r="H95" s="407"/>
      <c r="I95" s="407"/>
      <c r="J95" s="407"/>
      <c r="K95" s="407"/>
      <c r="L95" s="407"/>
      <c r="M95" s="407"/>
      <c r="N95" s="407"/>
      <c r="O95" s="407"/>
      <c r="P95" s="407"/>
      <c r="Q95" s="407"/>
      <c r="R95" s="407"/>
      <c r="S95" s="407"/>
      <c r="T95" s="407"/>
      <c r="U95" s="407"/>
      <c r="V95" s="407"/>
      <c r="W95" s="407"/>
      <c r="X95" s="407"/>
      <c r="Y95" s="407"/>
      <c r="Z95" s="407"/>
      <c r="AA95" s="407"/>
      <c r="AB95" s="407"/>
      <c r="AC95" s="407"/>
      <c r="AE95" s="29"/>
      <c r="AF95" s="29"/>
      <c r="AG95" s="29"/>
      <c r="BF95" s="5"/>
    </row>
    <row r="96" spans="1:58" ht="6.95" customHeight="1" x14ac:dyDescent="0.25">
      <c r="A96" s="4"/>
      <c r="O96" s="26"/>
      <c r="BF96" s="5"/>
    </row>
    <row r="97" spans="1:61" x14ac:dyDescent="0.25">
      <c r="A97" s="4"/>
      <c r="B97" s="422" t="s">
        <v>1900</v>
      </c>
      <c r="C97" s="422"/>
      <c r="D97" s="422"/>
      <c r="E97" s="422"/>
      <c r="F97" s="422"/>
      <c r="G97" s="422"/>
      <c r="H97" s="422"/>
      <c r="I97" s="422"/>
      <c r="J97" s="422"/>
      <c r="K97" s="422"/>
      <c r="L97" s="422"/>
      <c r="M97" s="422"/>
      <c r="N97" s="422"/>
      <c r="O97" s="422"/>
      <c r="P97" s="422"/>
      <c r="Q97" s="422"/>
      <c r="R97" s="422"/>
      <c r="S97" s="422"/>
      <c r="T97" s="422"/>
      <c r="U97" s="422"/>
      <c r="V97" s="422"/>
      <c r="W97" s="422"/>
      <c r="X97" s="422"/>
      <c r="Y97" s="422"/>
      <c r="Z97" s="422"/>
      <c r="AA97" s="422"/>
      <c r="AB97" s="422"/>
      <c r="AC97" s="422"/>
      <c r="AE97" s="427"/>
      <c r="AF97" s="427"/>
      <c r="AG97" s="427"/>
      <c r="AH97" s="427"/>
      <c r="AI97" s="427"/>
      <c r="AJ97" s="427"/>
      <c r="AK97" s="427"/>
      <c r="AQ97" s="410" t="str">
        <f>IF(BD97=1,"Bitte Dateneingabe vornehmen","")</f>
        <v>Bitte Dateneingabe vornehmen</v>
      </c>
      <c r="AR97" s="410"/>
      <c r="AS97" s="410"/>
      <c r="AT97" s="410"/>
      <c r="AU97" s="410"/>
      <c r="AV97" s="410"/>
      <c r="AW97" s="410"/>
      <c r="AX97" s="410"/>
      <c r="AY97" s="410"/>
      <c r="AZ97" s="410"/>
      <c r="BD97" s="36">
        <f>IF(AE97="",1,0)</f>
        <v>1</v>
      </c>
      <c r="BF97" s="5"/>
    </row>
    <row r="98" spans="1:61" ht="6.95" customHeight="1" x14ac:dyDescent="0.25">
      <c r="A98" s="4"/>
      <c r="O98" s="26"/>
      <c r="AE98" s="48"/>
      <c r="AF98" s="48"/>
      <c r="AG98" s="48"/>
      <c r="AH98" s="48"/>
      <c r="AI98" s="48"/>
      <c r="AJ98" s="48"/>
      <c r="AK98" s="48"/>
      <c r="BF98" s="5"/>
    </row>
    <row r="99" spans="1:61" s="19" customFormat="1" ht="15" customHeight="1" x14ac:dyDescent="0.25">
      <c r="A99" s="73"/>
      <c r="B99" s="407" t="s">
        <v>2062</v>
      </c>
      <c r="C99" s="407"/>
      <c r="D99" s="407"/>
      <c r="E99" s="407"/>
      <c r="F99" s="407"/>
      <c r="G99" s="407"/>
      <c r="H99" s="407"/>
      <c r="I99" s="407"/>
      <c r="J99" s="407"/>
      <c r="K99" s="407"/>
      <c r="L99" s="407"/>
      <c r="M99" s="407"/>
      <c r="N99" s="407"/>
      <c r="O99" s="407"/>
      <c r="P99" s="407"/>
      <c r="Q99" s="407"/>
      <c r="R99" s="407"/>
      <c r="S99" s="407"/>
      <c r="T99" s="407"/>
      <c r="U99" s="407"/>
      <c r="V99" s="407"/>
      <c r="W99" s="407"/>
      <c r="X99" s="407"/>
      <c r="Y99" s="407"/>
      <c r="Z99" s="407"/>
      <c r="AA99" s="407"/>
      <c r="AB99" s="407"/>
      <c r="AC99" s="407"/>
      <c r="AD99" s="25"/>
      <c r="AE99" s="428"/>
      <c r="AF99" s="428"/>
      <c r="AG99" s="428"/>
      <c r="AH99" s="428"/>
      <c r="AI99" s="428"/>
      <c r="AJ99" s="428"/>
      <c r="AK99" s="428"/>
      <c r="AL99" s="25"/>
      <c r="AN99" s="25"/>
      <c r="AO99" s="25"/>
      <c r="AP99" s="25"/>
      <c r="AQ99" s="410" t="str">
        <f>IF(BD99=1,"Bitte Dateneingabe vornehmen","")</f>
        <v>Bitte Dateneingabe vornehmen</v>
      </c>
      <c r="AR99" s="410"/>
      <c r="AS99" s="410"/>
      <c r="AT99" s="410"/>
      <c r="AU99" s="410"/>
      <c r="AV99" s="410"/>
      <c r="AW99" s="410"/>
      <c r="AX99" s="410"/>
      <c r="AY99" s="410"/>
      <c r="AZ99" s="410"/>
      <c r="BA99" s="25"/>
      <c r="BB99" s="25"/>
      <c r="BC99" s="25"/>
      <c r="BD99" s="36">
        <f>IF(AE99="",1,0)</f>
        <v>1</v>
      </c>
      <c r="BE99" s="36"/>
      <c r="BF99" s="49"/>
      <c r="BG99" s="49"/>
      <c r="BH99" s="49"/>
      <c r="BI99" s="49"/>
    </row>
    <row r="100" spans="1:61" ht="15" customHeight="1" x14ac:dyDescent="0.25">
      <c r="A100" s="4"/>
      <c r="B100" s="407"/>
      <c r="C100" s="407"/>
      <c r="D100" s="407"/>
      <c r="E100" s="407"/>
      <c r="F100" s="407"/>
      <c r="G100" s="407"/>
      <c r="H100" s="407"/>
      <c r="I100" s="407"/>
      <c r="J100" s="407"/>
      <c r="K100" s="407"/>
      <c r="L100" s="407"/>
      <c r="M100" s="407"/>
      <c r="N100" s="407"/>
      <c r="O100" s="407"/>
      <c r="P100" s="407"/>
      <c r="Q100" s="407"/>
      <c r="R100" s="407"/>
      <c r="S100" s="407"/>
      <c r="T100" s="407"/>
      <c r="U100" s="407"/>
      <c r="V100" s="407"/>
      <c r="W100" s="407"/>
      <c r="X100" s="407"/>
      <c r="Y100" s="407"/>
      <c r="Z100" s="407"/>
      <c r="AA100" s="407"/>
      <c r="AB100" s="407"/>
      <c r="AC100" s="407"/>
    </row>
    <row r="101" spans="1:61" x14ac:dyDescent="0.25">
      <c r="A101" s="4"/>
    </row>
    <row r="102" spans="1:61" x14ac:dyDescent="0.25">
      <c r="A102" s="4" t="s">
        <v>1926</v>
      </c>
      <c r="B102" s="397"/>
      <c r="C102" s="397"/>
      <c r="D102" s="397"/>
      <c r="E102" s="397"/>
      <c r="F102" s="397"/>
      <c r="G102" s="397"/>
      <c r="H102" s="397"/>
      <c r="I102" s="397"/>
      <c r="J102" s="397"/>
      <c r="K102" s="397"/>
      <c r="L102" s="397"/>
      <c r="M102" s="397"/>
      <c r="N102" s="397"/>
      <c r="O102" s="397"/>
      <c r="P102" s="397"/>
      <c r="Q102" s="397"/>
      <c r="R102" s="397"/>
      <c r="S102" s="397"/>
      <c r="T102" s="397"/>
      <c r="U102" s="397"/>
      <c r="V102" s="397"/>
      <c r="W102" s="397"/>
      <c r="X102" s="397"/>
      <c r="Y102" s="397"/>
      <c r="Z102" s="397"/>
      <c r="AA102" s="397"/>
      <c r="AB102" s="397"/>
      <c r="AC102" s="397"/>
      <c r="AD102" s="397"/>
      <c r="AE102" s="397"/>
      <c r="AF102" s="397"/>
      <c r="AG102" s="397"/>
      <c r="AH102" s="397"/>
      <c r="AI102" s="397"/>
      <c r="AJ102" s="397"/>
      <c r="AK102" s="397"/>
      <c r="AL102" s="397"/>
      <c r="AM102" s="397"/>
      <c r="AN102" s="397"/>
    </row>
    <row r="103" spans="1:61" x14ac:dyDescent="0.25">
      <c r="A103" s="4" t="s">
        <v>1927</v>
      </c>
      <c r="B103" s="397"/>
      <c r="C103" s="397"/>
      <c r="D103" s="397"/>
      <c r="E103" s="397"/>
      <c r="F103" s="397"/>
      <c r="G103" s="397"/>
      <c r="H103" s="397"/>
      <c r="I103" s="397"/>
      <c r="J103" s="397"/>
      <c r="K103" s="397"/>
      <c r="L103" s="397"/>
      <c r="M103" s="397"/>
      <c r="N103" s="397"/>
      <c r="O103" s="397"/>
      <c r="P103" s="397"/>
      <c r="Q103" s="397"/>
      <c r="R103" s="397"/>
      <c r="S103" s="397"/>
      <c r="T103" s="397"/>
      <c r="U103" s="397"/>
      <c r="V103" s="397"/>
      <c r="W103" s="397"/>
      <c r="X103" s="397"/>
      <c r="Y103" s="397"/>
      <c r="Z103" s="397"/>
      <c r="AA103" s="397"/>
      <c r="AB103" s="397"/>
      <c r="AC103" s="397"/>
      <c r="AD103" s="397"/>
      <c r="AE103" s="397"/>
      <c r="AF103" s="397"/>
      <c r="AG103" s="397"/>
      <c r="AH103" s="397"/>
      <c r="AI103" s="397"/>
      <c r="AJ103" s="397"/>
      <c r="AK103" s="397"/>
      <c r="AL103" s="397"/>
      <c r="AM103" s="397"/>
      <c r="AN103" s="397"/>
    </row>
    <row r="104" spans="1:61" x14ac:dyDescent="0.25">
      <c r="A104" s="4"/>
      <c r="B104" s="397"/>
      <c r="C104" s="397"/>
      <c r="D104" s="397"/>
      <c r="E104" s="397"/>
      <c r="F104" s="397"/>
      <c r="G104" s="397"/>
      <c r="H104" s="397"/>
      <c r="I104" s="397"/>
      <c r="J104" s="397"/>
      <c r="K104" s="397"/>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397"/>
    </row>
    <row r="105" spans="1:61" x14ac:dyDescent="0.25">
      <c r="A105" s="4"/>
      <c r="B105" s="397"/>
      <c r="C105" s="397"/>
      <c r="D105" s="397"/>
      <c r="E105" s="397"/>
      <c r="F105" s="397"/>
      <c r="G105" s="397"/>
      <c r="H105" s="397"/>
      <c r="I105" s="397"/>
      <c r="J105" s="397"/>
      <c r="K105" s="397"/>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row>
    <row r="106" spans="1:61" x14ac:dyDescent="0.25">
      <c r="A106" s="4"/>
      <c r="B106" s="397"/>
      <c r="C106" s="397"/>
      <c r="D106" s="397"/>
      <c r="E106" s="397"/>
      <c r="F106" s="397"/>
      <c r="G106" s="397"/>
      <c r="H106" s="397"/>
      <c r="I106" s="397"/>
      <c r="J106" s="397"/>
      <c r="K106" s="397"/>
      <c r="L106" s="397"/>
      <c r="M106" s="397"/>
      <c r="N106" s="397"/>
      <c r="O106" s="397"/>
      <c r="P106" s="397"/>
      <c r="Q106" s="397"/>
      <c r="R106" s="397"/>
      <c r="S106" s="397"/>
      <c r="T106" s="397"/>
      <c r="U106" s="397"/>
      <c r="V106" s="397"/>
      <c r="W106" s="397"/>
      <c r="X106" s="397"/>
      <c r="Y106" s="397"/>
      <c r="Z106" s="397"/>
      <c r="AA106" s="397"/>
      <c r="AB106" s="397"/>
      <c r="AC106" s="397"/>
      <c r="AD106" s="397"/>
      <c r="AE106" s="397"/>
      <c r="AF106" s="397"/>
      <c r="AG106" s="397"/>
      <c r="AH106" s="397"/>
      <c r="AI106" s="397"/>
      <c r="AJ106" s="397"/>
      <c r="AK106" s="397"/>
      <c r="AL106" s="397"/>
      <c r="AM106" s="397"/>
      <c r="AN106" s="397"/>
    </row>
    <row r="107" spans="1:61" x14ac:dyDescent="0.25">
      <c r="A107" s="4"/>
      <c r="B107" s="397"/>
      <c r="C107" s="397"/>
      <c r="D107" s="397"/>
      <c r="E107" s="397"/>
      <c r="F107" s="397"/>
      <c r="G107" s="397"/>
      <c r="H107" s="397"/>
      <c r="I107" s="397"/>
      <c r="J107" s="397"/>
      <c r="K107" s="397"/>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397"/>
    </row>
    <row r="108" spans="1:61" x14ac:dyDescent="0.25">
      <c r="A108" s="4"/>
      <c r="B108" s="397"/>
      <c r="C108" s="397"/>
      <c r="D108" s="397"/>
      <c r="E108" s="397"/>
      <c r="F108" s="397"/>
      <c r="G108" s="397"/>
      <c r="H108" s="397"/>
      <c r="I108" s="397"/>
      <c r="J108" s="397"/>
      <c r="K108" s="397"/>
      <c r="L108" s="397"/>
      <c r="M108" s="397"/>
      <c r="N108" s="397"/>
      <c r="O108" s="397"/>
      <c r="P108" s="397"/>
      <c r="Q108" s="397"/>
      <c r="R108" s="397"/>
      <c r="S108" s="397"/>
      <c r="T108" s="397"/>
      <c r="U108" s="397"/>
      <c r="V108" s="397"/>
      <c r="W108" s="397"/>
      <c r="X108" s="397"/>
      <c r="Y108" s="397"/>
      <c r="Z108" s="397"/>
      <c r="AA108" s="397"/>
      <c r="AB108" s="397"/>
      <c r="AC108" s="397"/>
      <c r="AD108" s="397"/>
      <c r="AE108" s="397"/>
      <c r="AF108" s="397"/>
      <c r="AG108" s="397"/>
      <c r="AH108" s="397"/>
      <c r="AI108" s="397"/>
      <c r="AJ108" s="397"/>
      <c r="AK108" s="397"/>
      <c r="AL108" s="397"/>
      <c r="AM108" s="397"/>
      <c r="AN108" s="397"/>
    </row>
    <row r="109" spans="1:61" x14ac:dyDescent="0.25">
      <c r="A109" s="4"/>
      <c r="B109" s="397"/>
      <c r="C109" s="397"/>
      <c r="D109" s="397"/>
      <c r="E109" s="397"/>
      <c r="F109" s="397"/>
      <c r="G109" s="397"/>
      <c r="H109" s="397"/>
      <c r="I109" s="397"/>
      <c r="J109" s="397"/>
      <c r="K109" s="397"/>
      <c r="L109" s="397"/>
      <c r="M109" s="397"/>
      <c r="N109" s="397"/>
      <c r="O109" s="397"/>
      <c r="P109" s="397"/>
      <c r="Q109" s="397"/>
      <c r="R109" s="397"/>
      <c r="S109" s="397"/>
      <c r="T109" s="397"/>
      <c r="U109" s="397"/>
      <c r="V109" s="397"/>
      <c r="W109" s="397"/>
      <c r="X109" s="397"/>
      <c r="Y109" s="397"/>
      <c r="Z109" s="397"/>
      <c r="AA109" s="397"/>
      <c r="AB109" s="397"/>
      <c r="AC109" s="397"/>
      <c r="AD109" s="397"/>
      <c r="AE109" s="397"/>
      <c r="AF109" s="397"/>
      <c r="AG109" s="397"/>
      <c r="AH109" s="397"/>
      <c r="AI109" s="397"/>
      <c r="AJ109" s="397"/>
      <c r="AK109" s="397"/>
      <c r="AL109" s="397"/>
      <c r="AM109" s="397"/>
      <c r="AN109" s="397"/>
    </row>
    <row r="110" spans="1:61" x14ac:dyDescent="0.25">
      <c r="A110" s="4"/>
      <c r="B110" s="397"/>
      <c r="C110" s="397"/>
      <c r="D110" s="397"/>
      <c r="E110" s="397"/>
      <c r="F110" s="397"/>
      <c r="G110" s="397"/>
      <c r="H110" s="397"/>
      <c r="I110" s="397"/>
      <c r="J110" s="397"/>
      <c r="K110" s="397"/>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397"/>
    </row>
    <row r="111" spans="1:61" x14ac:dyDescent="0.25">
      <c r="A111" s="4"/>
      <c r="B111" s="397"/>
      <c r="C111" s="397"/>
      <c r="D111" s="397"/>
      <c r="E111" s="397"/>
      <c r="F111" s="397"/>
      <c r="G111" s="397"/>
      <c r="H111" s="397"/>
      <c r="I111" s="397"/>
      <c r="J111" s="397"/>
      <c r="K111" s="397"/>
      <c r="L111" s="397"/>
      <c r="M111" s="397"/>
      <c r="N111" s="397"/>
      <c r="O111" s="397"/>
      <c r="P111" s="397"/>
      <c r="Q111" s="397"/>
      <c r="R111" s="397"/>
      <c r="S111" s="397"/>
      <c r="T111" s="397"/>
      <c r="U111" s="397"/>
      <c r="V111" s="397"/>
      <c r="W111" s="397"/>
      <c r="X111" s="397"/>
      <c r="Y111" s="397"/>
      <c r="Z111" s="397"/>
      <c r="AA111" s="397"/>
      <c r="AB111" s="397"/>
      <c r="AC111" s="397"/>
      <c r="AD111" s="397"/>
      <c r="AE111" s="397"/>
      <c r="AF111" s="397"/>
      <c r="AG111" s="397"/>
      <c r="AH111" s="397"/>
      <c r="AI111" s="397"/>
      <c r="AJ111" s="397"/>
      <c r="AK111" s="397"/>
      <c r="AL111" s="397"/>
      <c r="AM111" s="397"/>
      <c r="AN111" s="397"/>
    </row>
    <row r="112" spans="1:61" x14ac:dyDescent="0.25">
      <c r="A112" s="4"/>
      <c r="B112" s="397"/>
      <c r="C112" s="397"/>
      <c r="D112" s="397"/>
      <c r="E112" s="397"/>
      <c r="F112" s="397"/>
      <c r="G112" s="397"/>
      <c r="H112" s="397"/>
      <c r="I112" s="397"/>
      <c r="J112" s="397"/>
      <c r="K112" s="397"/>
      <c r="L112" s="397"/>
      <c r="M112" s="397"/>
      <c r="N112" s="397"/>
      <c r="O112" s="397"/>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row>
    <row r="113" spans="1:57" x14ac:dyDescent="0.25">
      <c r="A113" s="4"/>
      <c r="B113" s="397"/>
      <c r="C113" s="397"/>
      <c r="D113" s="397"/>
      <c r="E113" s="397"/>
      <c r="F113" s="397"/>
      <c r="G113" s="397"/>
      <c r="H113" s="397"/>
      <c r="I113" s="397"/>
      <c r="J113" s="397"/>
      <c r="K113" s="397"/>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397"/>
    </row>
    <row r="114" spans="1:57" x14ac:dyDescent="0.25">
      <c r="A114" s="4"/>
      <c r="B114" s="397"/>
      <c r="C114" s="397"/>
      <c r="D114" s="397"/>
      <c r="E114" s="397"/>
      <c r="F114" s="397"/>
      <c r="G114" s="397"/>
      <c r="H114" s="397"/>
      <c r="I114" s="397"/>
      <c r="J114" s="397"/>
      <c r="K114" s="397"/>
      <c r="L114" s="397"/>
      <c r="M114" s="397"/>
      <c r="N114" s="397"/>
      <c r="O114" s="397"/>
      <c r="P114" s="397"/>
      <c r="Q114" s="397"/>
      <c r="R114" s="397"/>
      <c r="S114" s="397"/>
      <c r="T114" s="397"/>
      <c r="U114" s="397"/>
      <c r="V114" s="397"/>
      <c r="W114" s="397"/>
      <c r="X114" s="397"/>
      <c r="Y114" s="397"/>
      <c r="Z114" s="397"/>
      <c r="AA114" s="397"/>
      <c r="AB114" s="397"/>
      <c r="AC114" s="397"/>
      <c r="AD114" s="397"/>
      <c r="AE114" s="397"/>
      <c r="AF114" s="397"/>
      <c r="AG114" s="397"/>
      <c r="AH114" s="397"/>
      <c r="AI114" s="397"/>
      <c r="AJ114" s="397"/>
      <c r="AK114" s="397"/>
      <c r="AL114" s="397"/>
      <c r="AM114" s="397"/>
      <c r="AN114" s="397"/>
    </row>
    <row r="115" spans="1:57" x14ac:dyDescent="0.25">
      <c r="A115" s="4"/>
      <c r="B115" s="397"/>
      <c r="C115" s="397"/>
      <c r="D115" s="397"/>
      <c r="E115" s="397"/>
      <c r="F115" s="397"/>
      <c r="G115" s="397"/>
      <c r="H115" s="397"/>
      <c r="I115" s="397"/>
      <c r="J115" s="397"/>
      <c r="K115" s="397"/>
      <c r="L115" s="397"/>
      <c r="M115" s="397"/>
      <c r="N115" s="397"/>
      <c r="O115" s="397"/>
      <c r="P115" s="397"/>
      <c r="Q115" s="397"/>
      <c r="R115" s="397"/>
      <c r="S115" s="397"/>
      <c r="T115" s="397"/>
      <c r="U115" s="397"/>
      <c r="V115" s="397"/>
      <c r="W115" s="397"/>
      <c r="X115" s="397"/>
      <c r="Y115" s="397"/>
      <c r="Z115" s="397"/>
      <c r="AA115" s="397"/>
      <c r="AB115" s="397"/>
      <c r="AC115" s="397"/>
      <c r="AD115" s="397"/>
      <c r="AE115" s="397"/>
      <c r="AF115" s="397"/>
      <c r="AG115" s="397"/>
      <c r="AH115" s="397"/>
      <c r="AI115" s="397"/>
      <c r="AJ115" s="397"/>
      <c r="AK115" s="397"/>
      <c r="AL115" s="397"/>
      <c r="AM115" s="397"/>
      <c r="AN115" s="397"/>
    </row>
    <row r="116" spans="1:57" x14ac:dyDescent="0.25">
      <c r="A116" s="4"/>
      <c r="B116" s="397"/>
      <c r="C116" s="397"/>
      <c r="D116" s="397"/>
      <c r="E116" s="397"/>
      <c r="F116" s="397"/>
      <c r="G116" s="397"/>
      <c r="H116" s="397"/>
      <c r="I116" s="397"/>
      <c r="J116" s="397"/>
      <c r="K116" s="397"/>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397"/>
    </row>
    <row r="117" spans="1:57" x14ac:dyDescent="0.25">
      <c r="A117" s="4"/>
    </row>
    <row r="118" spans="1:57" x14ac:dyDescent="0.25">
      <c r="BD118" s="257">
        <f>MAX(BD5:BD117)</f>
        <v>1</v>
      </c>
      <c r="BE118" s="257"/>
    </row>
  </sheetData>
  <sheetProtection algorithmName="SHA-512" hashValue="6OXlBne/0HN/lCvTqjT350sbfNihT/Zr3IDqH16MHK8Y1ZRNeoQMnhYvcjOE4VLDPyvKqNDHlxg1E2nuZFUM+A==" saltValue="yJtycTRS7aP1tQCgQvJwdw==" spinCount="100000" sheet="1" selectLockedCells="1"/>
  <mergeCells count="106">
    <mergeCell ref="A80:A83"/>
    <mergeCell ref="AA32:AC32"/>
    <mergeCell ref="F47:N47"/>
    <mergeCell ref="AA40:AC40"/>
    <mergeCell ref="AE94:AG94"/>
    <mergeCell ref="AE97:AK97"/>
    <mergeCell ref="B94:AC95"/>
    <mergeCell ref="AE99:AK99"/>
    <mergeCell ref="B99:AC100"/>
    <mergeCell ref="B97:AC97"/>
    <mergeCell ref="AE80:AI80"/>
    <mergeCell ref="B71:AN73"/>
    <mergeCell ref="B50:AN51"/>
    <mergeCell ref="AD55:AF55"/>
    <mergeCell ref="AH55:AJ55"/>
    <mergeCell ref="Z53:AB53"/>
    <mergeCell ref="AD53:AF53"/>
    <mergeCell ref="AH53:AJ53"/>
    <mergeCell ref="C57:X57"/>
    <mergeCell ref="Z57:AB57"/>
    <mergeCell ref="AD57:AF57"/>
    <mergeCell ref="AH57:AJ57"/>
    <mergeCell ref="M77:Z77"/>
    <mergeCell ref="F43:N43"/>
    <mergeCell ref="B102:AN116"/>
    <mergeCell ref="AQ85:AZ85"/>
    <mergeCell ref="AQ87:AZ87"/>
    <mergeCell ref="AQ97:AZ97"/>
    <mergeCell ref="AQ99:AZ99"/>
    <mergeCell ref="AQ29:AZ29"/>
    <mergeCell ref="AQ89:AZ89"/>
    <mergeCell ref="AQ92:AZ92"/>
    <mergeCell ref="AA45:AC45"/>
    <mergeCell ref="B89:AC90"/>
    <mergeCell ref="AE87:AK87"/>
    <mergeCell ref="B92:AC92"/>
    <mergeCell ref="AE85:AK85"/>
    <mergeCell ref="AA29:AC29"/>
    <mergeCell ref="AQ45:AZ45"/>
    <mergeCell ref="AE89:AG89"/>
    <mergeCell ref="AE92:AG92"/>
    <mergeCell ref="AQ80:AZ80"/>
    <mergeCell ref="AQ75:AZ75"/>
    <mergeCell ref="AD59:AF59"/>
    <mergeCell ref="M75:V75"/>
    <mergeCell ref="B32:Y33"/>
    <mergeCell ref="AQ71:BA71"/>
    <mergeCell ref="B69:AP69"/>
    <mergeCell ref="I19:I20"/>
    <mergeCell ref="B27:G27"/>
    <mergeCell ref="I27:AN27"/>
    <mergeCell ref="Y20:AN21"/>
    <mergeCell ref="U25:W25"/>
    <mergeCell ref="AQ94:AZ94"/>
    <mergeCell ref="B3:AN4"/>
    <mergeCell ref="AQ6:AZ6"/>
    <mergeCell ref="AQ23:AZ23"/>
    <mergeCell ref="AQ19:AZ19"/>
    <mergeCell ref="AQ25:AZ25"/>
    <mergeCell ref="AQ27:AZ27"/>
    <mergeCell ref="B6:G6"/>
    <mergeCell ref="I23:AN23"/>
    <mergeCell ref="I17:AN17"/>
    <mergeCell ref="I15:AN15"/>
    <mergeCell ref="I6:AN6"/>
    <mergeCell ref="I9:AN9"/>
    <mergeCell ref="I11:AN11"/>
    <mergeCell ref="I13:AN13"/>
    <mergeCell ref="B23:G23"/>
    <mergeCell ref="J19:M20"/>
    <mergeCell ref="C59:X59"/>
    <mergeCell ref="C55:X55"/>
    <mergeCell ref="BL40:BV41"/>
    <mergeCell ref="AQ32:AZ32"/>
    <mergeCell ref="AQ33:BA33"/>
    <mergeCell ref="AQ46:BA46"/>
    <mergeCell ref="AQ20:AY20"/>
    <mergeCell ref="AQ13:BA13"/>
    <mergeCell ref="AQ9:BA11"/>
    <mergeCell ref="AQ14:BA15"/>
    <mergeCell ref="AQ40:AZ40"/>
    <mergeCell ref="AQ30:BA31"/>
    <mergeCell ref="Z55:AB55"/>
    <mergeCell ref="AQ55:AY55"/>
    <mergeCell ref="AL55:AN55"/>
    <mergeCell ref="AL53:AN53"/>
    <mergeCell ref="AL57:AN57"/>
    <mergeCell ref="AL59:AN59"/>
    <mergeCell ref="AL61:AN61"/>
    <mergeCell ref="AL63:AN63"/>
    <mergeCell ref="AQ57:AY57"/>
    <mergeCell ref="AQ59:AY59"/>
    <mergeCell ref="AQ61:AY61"/>
    <mergeCell ref="AQ63:AY63"/>
    <mergeCell ref="Z59:AB59"/>
    <mergeCell ref="AH59:AJ59"/>
    <mergeCell ref="Z66:AB66"/>
    <mergeCell ref="AQ66:AZ66"/>
    <mergeCell ref="C61:X61"/>
    <mergeCell ref="Z61:AB61"/>
    <mergeCell ref="AD61:AF61"/>
    <mergeCell ref="AH61:AJ61"/>
    <mergeCell ref="C63:X63"/>
    <mergeCell ref="Z63:AB63"/>
    <mergeCell ref="AD63:AF63"/>
    <mergeCell ref="AH63:AJ63"/>
  </mergeCells>
  <conditionalFormatting sqref="M7:N7 N10:O10 N12:O12 N14:O14 N16:O16 M101:O101 M117:O1048576 M1:O2 M8:O8 M5:N5">
    <cfRule type="containsText" dxfId="596" priority="557" operator="containsText" text="Betroffenheitsgrad zu niedrig">
      <formula>NOT(ISERROR(SEARCH("Betroffenheitsgrad zu niedrig",M1)))</formula>
    </cfRule>
    <cfRule type="containsText" dxfId="595" priority="558" operator="containsText" text="Mindestgrad erreicht">
      <formula>NOT(ISERROR(SEARCH("Mindestgrad erreicht",M1)))</formula>
    </cfRule>
    <cfRule type="containsText" dxfId="594" priority="559" operator="containsText" text="Preissteigerung zu niedrig">
      <formula>NOT(ISERROR(SEARCH("Preissteigerung zu niedrig",M1)))</formula>
    </cfRule>
    <cfRule type="containsText" dxfId="593" priority="560" operator="containsText" text="Mindestpreissteigerung erreicht">
      <formula>NOT(ISERROR(SEARCH("Mindestpreissteigerung erreicht",M1)))</formula>
    </cfRule>
  </conditionalFormatting>
  <conditionalFormatting sqref="M101 M117:M1048576 M1:M2 M7:M8 M5">
    <cfRule type="containsText" dxfId="592" priority="506" operator="containsText" text="Bagatellgrenze von 2.500 € nicht erreicht">
      <formula>NOT(ISERROR(SEARCH("Bagatellgrenze von 2.500 € nicht erreicht",M1)))</formula>
    </cfRule>
    <cfRule type="containsText" dxfId="591" priority="531" operator="containsText" text="Preisweitergabe, Ausschluss">
      <formula>NOT(ISERROR(SEARCH("Preisweitergabe, Ausschluss",M1)))</formula>
    </cfRule>
  </conditionalFormatting>
  <conditionalFormatting sqref="B6 AN1 L7:N7 I10:J10 N10:O10 N12:O12 I12:J12 I14:J14 N14:O14 I16:J16 I15 N16:O16 N20:O22 N19 N24:O26 N18:O18 H23:I23 A27 N96:O96 N91:O91 N93:O93 N98:O98 A95 A100 A90 C87:J87 H6:I6 A13:G13 A2:H2 A24:J26 A23:B23 A17:I17 A21:J22 A20:H20 A18:J19 A96:J96 A94:B94 A91:J91 A89:B89 A93:J93 A92:B92 A99:B99 A98:J98 A97:B97 B88:J88 A7:H7 B45 A102:B102 A103:A116 A3:B3 A4 BL34 A101:O101 N35:O40 A45:A47 B46:J46 N46:O46 A43:F43 N48:O49 O47 B47:E47 B77:E77 A117:O1048576 N76:O76 B76:J76 I1:O2 A44:J44 A8:O8 A48:J49 A50:B50 N84:O88 A32:A33 N28:O28 A5:N5 A53:A63 B53:B56 O53:O54 A34:J42 B84:J86 A80 M81:M83 AE80 A28:J31 A52:B52 A51 N70:O70 C70:J70 B78:J79 P78:Q79 N64:O68 C64:J68">
    <cfRule type="containsText" dxfId="590" priority="397" operator="containsText" text="Mindestbetroffenheitsgrad erreicht">
      <formula>NOT(ISERROR(SEARCH("Mindestbetroffenheitsgrad erreicht",A1)))</formula>
    </cfRule>
    <cfRule type="containsText" dxfId="589" priority="424" operator="containsText" text="Betroffenheitsgrad zu niedrig">
      <formula>NOT(ISERROR(SEARCH("Betroffenheitsgrad zu niedrig",A1)))</formula>
    </cfRule>
    <cfRule type="containsText" dxfId="588" priority="425" operator="containsText" text="Preissteigerung zu niedrig">
      <formula>NOT(ISERROR(SEARCH("Preissteigerung zu niedrig",A1)))</formula>
    </cfRule>
    <cfRule type="containsText" dxfId="587" priority="426" operator="containsText" text="Mindestpreissteigerung erreicht">
      <formula>NOT(ISERROR(SEARCH("Mindestpreissteigerung erreicht",A1)))</formula>
    </cfRule>
    <cfRule type="containsText" dxfId="586" priority="435" operator="containsText" text="Bagatellgrenze nicht erreicht">
      <formula>NOT(ISERROR(SEARCH("Bagatellgrenze nicht erreicht",A1)))</formula>
    </cfRule>
  </conditionalFormatting>
  <conditionalFormatting sqref="B27 H27:I27">
    <cfRule type="containsText" dxfId="585" priority="240" operator="containsText" text="Mindestbetroffenheitsgrad erreicht">
      <formula>NOT(ISERROR(SEARCH("Mindestbetroffenheitsgrad erreicht",B27)))</formula>
    </cfRule>
    <cfRule type="containsText" dxfId="584" priority="241" operator="containsText" text="Betroffenheitsgrad zu niedrig">
      <formula>NOT(ISERROR(SEARCH("Betroffenheitsgrad zu niedrig",B27)))</formula>
    </cfRule>
    <cfRule type="containsText" dxfId="583" priority="242" operator="containsText" text="Preissteigerung zu niedrig">
      <formula>NOT(ISERROR(SEARCH("Preissteigerung zu niedrig",B27)))</formula>
    </cfRule>
    <cfRule type="containsText" dxfId="582" priority="243" operator="containsText" text="Mindestpreissteigerung erreicht">
      <formula>NOT(ISERROR(SEARCH("Mindestpreissteigerung erreicht",B27)))</formula>
    </cfRule>
    <cfRule type="containsText" dxfId="581" priority="244" operator="containsText" text="Bagatellgrenze nicht erreicht">
      <formula>NOT(ISERROR(SEARCH("Bagatellgrenze nicht erreicht",B27)))</formula>
    </cfRule>
  </conditionalFormatting>
  <conditionalFormatting sqref="I27:AN27">
    <cfRule type="expression" dxfId="580" priority="239">
      <formula>$U$25="Ja"</formula>
    </cfRule>
  </conditionalFormatting>
  <conditionalFormatting sqref="B87">
    <cfRule type="containsText" dxfId="579" priority="234" operator="containsText" text="Mindestbetroffenheitsgrad erreicht">
      <formula>NOT(ISERROR(SEARCH("Mindestbetroffenheitsgrad erreicht",B87)))</formula>
    </cfRule>
    <cfRule type="containsText" dxfId="578" priority="235" operator="containsText" text="Betroffenheitsgrad zu niedrig">
      <formula>NOT(ISERROR(SEARCH("Betroffenheitsgrad zu niedrig",B87)))</formula>
    </cfRule>
    <cfRule type="containsText" dxfId="577" priority="236" operator="containsText" text="Preissteigerung zu niedrig">
      <formula>NOT(ISERROR(SEARCH("Preissteigerung zu niedrig",B87)))</formula>
    </cfRule>
    <cfRule type="containsText" dxfId="576" priority="237" operator="containsText" text="Mindestpreissteigerung erreicht">
      <formula>NOT(ISERROR(SEARCH("Mindestpreissteigerung erreicht",B87)))</formula>
    </cfRule>
    <cfRule type="containsText" dxfId="575" priority="238" operator="containsText" text="Bagatellgrenze nicht erreicht">
      <formula>NOT(ISERROR(SEARCH("Bagatellgrenze nicht erreicht",B87)))</formula>
    </cfRule>
  </conditionalFormatting>
  <conditionalFormatting sqref="AQ30">
    <cfRule type="containsText" dxfId="574" priority="224" operator="containsText" text="Mindestbetroffenheitsgrad erreicht">
      <formula>NOT(ISERROR(SEARCH("Mindestbetroffenheitsgrad erreicht",AQ30)))</formula>
    </cfRule>
    <cfRule type="containsText" dxfId="573" priority="225" operator="containsText" text="Betroffenheitsgrad zu niedrig">
      <formula>NOT(ISERROR(SEARCH("Betroffenheitsgrad zu niedrig",AQ30)))</formula>
    </cfRule>
    <cfRule type="containsText" dxfId="572" priority="226" operator="containsText" text="Preissteigerung zu niedrig">
      <formula>NOT(ISERROR(SEARCH("Preissteigerung zu niedrig",AQ30)))</formula>
    </cfRule>
    <cfRule type="containsText" dxfId="571" priority="227" operator="containsText" text="Mindestpreissteigerung erreicht">
      <formula>NOT(ISERROR(SEARCH("Mindestpreissteigerung erreicht",AQ30)))</formula>
    </cfRule>
    <cfRule type="containsText" dxfId="570" priority="228" operator="containsText" text="Bagatellgrenze nicht erreicht">
      <formula>NOT(ISERROR(SEARCH("Bagatellgrenze nicht erreicht",AQ30)))</formula>
    </cfRule>
  </conditionalFormatting>
  <conditionalFormatting sqref="AQ46">
    <cfRule type="containsText" dxfId="569" priority="219" operator="containsText" text="Mindestbetroffenheitsgrad erreicht">
      <formula>NOT(ISERROR(SEARCH("Mindestbetroffenheitsgrad erreicht",AQ46)))</formula>
    </cfRule>
    <cfRule type="containsText" dxfId="568" priority="220" operator="containsText" text="Betroffenheitsgrad zu niedrig">
      <formula>NOT(ISERROR(SEARCH("Betroffenheitsgrad zu niedrig",AQ46)))</formula>
    </cfRule>
    <cfRule type="containsText" dxfId="567" priority="221" operator="containsText" text="Preissteigerung zu niedrig">
      <formula>NOT(ISERROR(SEARCH("Preissteigerung zu niedrig",AQ46)))</formula>
    </cfRule>
    <cfRule type="containsText" dxfId="566" priority="222" operator="containsText" text="Mindestpreissteigerung erreicht">
      <formula>NOT(ISERROR(SEARCH("Mindestpreissteigerung erreicht",AQ46)))</formula>
    </cfRule>
    <cfRule type="containsText" dxfId="565" priority="223" operator="containsText" text="Bagatellgrenze nicht erreicht">
      <formula>NOT(ISERROR(SEARCH("Bagatellgrenze nicht erreicht",AQ46)))</formula>
    </cfRule>
  </conditionalFormatting>
  <conditionalFormatting sqref="B48:AD49 B85:AL87 B97:AL99 X40:Y40 B29:P29 T29:X29 AA29:AC29 T45:X45 AA45:AC45 B40:T40 AA40 B34:X34 A45:P45 B43:F43 O43:X43 B47:E47 B77:E77 AQ29:AQ30 B76:T76 L75:M75 AZ20 B88:AZ88 B9:AQ9 B10:AP17 B90:AZ91 B89:AQ89 B93:AZ93 B92:AQ92 B95:AZ96 B94:AQ94 B18:AZ18 B28:AZ28 B27:AQ27 AN87:AQ87 AN85:AQ85 AN86:AZ86 AN99:AQ99 AN97:AQ97 AN98:AZ98 B100:AZ117 AE33:AP34 B35:AP39 O47:AP47 AO29:AP29 B46:AQ46 B21:AZ26 B20:AQ20 AO32:AP32 B84:AZ84 AE41:AN44 B44:X44 AO40:AP45 AR48:AZ52 AV47 B50 BL34:BL36 BL38:BL40 BL43:BL45 AO62:AP62 AJ74:AP74 V74:X74 AC74:AH74 AO71:AP73 AC75:AG76 V76:X76 W75 B30:X31 AE30:AP31 B6:AZ8 BM48:BU49 AQ54 AQ50:AQ52 AO48:AP54 B41:X42 B80:L80 S80:X80 AE80:AJ80 B52 AO66:AP66 AJ67:AP68 AJ66:AK66 Z66 AR67:AZ70 AO56:AP56 AO55 AO58:AP58 AO57 AO59:AO61 AO63 B19:AF19 AH19:AZ19 AJ70:AP70 AC70:AH70 M70:T70 C70:J70 V70:X70 AC77:AP79 B78:J79 N78:X79 AC64:AH68 M64:T68 C64:J68 V64:X68 AJ64:AP65 AR64:AZ65">
    <cfRule type="containsText" dxfId="564" priority="215" operator="containsText" text="Bitte Auswahl treffen">
      <formula>NOT(ISERROR(SEARCH("Bitte Auswahl treffen",A6)))</formula>
    </cfRule>
    <cfRule type="containsText" dxfId="563" priority="216" operator="containsText" text="Bitte Dateneingabe vornehmen">
      <formula>NOT(ISERROR(SEARCH("Bitte Dateneingabe vornehmen",A6)))</formula>
    </cfRule>
  </conditionalFormatting>
  <conditionalFormatting sqref="B32">
    <cfRule type="containsText" dxfId="562" priority="180" operator="containsText" text="Mindestbetroffenheitsgrad erreicht">
      <formula>NOT(ISERROR(SEARCH("Mindestbetroffenheitsgrad erreicht",B32)))</formula>
    </cfRule>
    <cfRule type="containsText" dxfId="561" priority="181" operator="containsText" text="Betroffenheitsgrad zu niedrig">
      <formula>NOT(ISERROR(SEARCH("Betroffenheitsgrad zu niedrig",B32)))</formula>
    </cfRule>
    <cfRule type="containsText" dxfId="560" priority="182" operator="containsText" text="Preissteigerung zu niedrig">
      <formula>NOT(ISERROR(SEARCH("Preissteigerung zu niedrig",B32)))</formula>
    </cfRule>
    <cfRule type="containsText" dxfId="559" priority="183" operator="containsText" text="Mindestpreissteigerung erreicht">
      <formula>NOT(ISERROR(SEARCH("Mindestpreissteigerung erreicht",B32)))</formula>
    </cfRule>
    <cfRule type="containsText" dxfId="558" priority="184" operator="containsText" text="Bagatellgrenze nicht erreicht">
      <formula>NOT(ISERROR(SEARCH("Bagatellgrenze nicht erreicht",B32)))</formula>
    </cfRule>
  </conditionalFormatting>
  <conditionalFormatting sqref="B32">
    <cfRule type="containsText" dxfId="557" priority="178" operator="containsText" text="Bitte Auswahl treffen">
      <formula>NOT(ISERROR(SEARCH("Bitte Auswahl treffen",B32)))</formula>
    </cfRule>
    <cfRule type="containsText" dxfId="556" priority="179" operator="containsText" text="Bitte Dateneingabe vornehmen">
      <formula>NOT(ISERROR(SEARCH("Bitte Dateneingabe vornehmen",B32)))</formula>
    </cfRule>
  </conditionalFormatting>
  <conditionalFormatting sqref="AA32:AC32">
    <cfRule type="containsText" dxfId="555" priority="176" operator="containsText" text="Bitte Auswahl treffen">
      <formula>NOT(ISERROR(SEARCH("Bitte Auswahl treffen",AA32)))</formula>
    </cfRule>
    <cfRule type="containsText" dxfId="554" priority="177" operator="containsText" text="Bitte Dateneingabe vornehmen">
      <formula>NOT(ISERROR(SEARCH("Bitte Dateneingabe vornehmen",AA32)))</formula>
    </cfRule>
  </conditionalFormatting>
  <conditionalFormatting sqref="AQ40">
    <cfRule type="containsText" dxfId="553" priority="170" operator="containsText" text="Bitte Auswahl treffen">
      <formula>NOT(ISERROR(SEARCH("Bitte Auswahl treffen",AQ40)))</formula>
    </cfRule>
    <cfRule type="containsText" dxfId="552" priority="171" operator="containsText" text="Bitte Dateneingabe vornehmen">
      <formula>NOT(ISERROR(SEARCH("Bitte Dateneingabe vornehmen",AQ40)))</formula>
    </cfRule>
  </conditionalFormatting>
  <conditionalFormatting sqref="AQ32">
    <cfRule type="containsText" dxfId="551" priority="172" operator="containsText" text="Bitte Auswahl treffen">
      <formula>NOT(ISERROR(SEARCH("Bitte Auswahl treffen",AQ32)))</formula>
    </cfRule>
    <cfRule type="containsText" dxfId="550" priority="173" operator="containsText" text="Bitte Dateneingabe vornehmen">
      <formula>NOT(ISERROR(SEARCH("Bitte Dateneingabe vornehmen",AQ32)))</formula>
    </cfRule>
  </conditionalFormatting>
  <conditionalFormatting sqref="AQ45">
    <cfRule type="containsText" dxfId="549" priority="168" operator="containsText" text="Bitte Auswahl treffen">
      <formula>NOT(ISERROR(SEARCH("Bitte Auswahl treffen",AQ45)))</formula>
    </cfRule>
    <cfRule type="containsText" dxfId="548" priority="169" operator="containsText" text="Bitte Dateneingabe vornehmen">
      <formula>NOT(ISERROR(SEARCH("Bitte Dateneingabe vornehmen",AQ45)))</formula>
    </cfRule>
  </conditionalFormatting>
  <conditionalFormatting sqref="F43">
    <cfRule type="containsText" dxfId="547" priority="167" operator="containsText" text="Genereller Leistungsauschluss">
      <formula>NOT(ISERROR(SEARCH("Genereller Leistungsauschluss",F43)))</formula>
    </cfRule>
  </conditionalFormatting>
  <conditionalFormatting sqref="F43:N43">
    <cfRule type="containsText" dxfId="546" priority="166" operator="containsText" text="Kein Leistungsausschluss">
      <formula>NOT(ISERROR(SEARCH("Kein Leistungsausschluss",F43)))</formula>
    </cfRule>
  </conditionalFormatting>
  <conditionalFormatting sqref="F47">
    <cfRule type="containsText" dxfId="545" priority="161" operator="containsText" text="Mindestbetroffenheitsgrad erreicht">
      <formula>NOT(ISERROR(SEARCH("Mindestbetroffenheitsgrad erreicht",F47)))</formula>
    </cfRule>
    <cfRule type="containsText" dxfId="544" priority="162" operator="containsText" text="Betroffenheitsgrad zu niedrig">
      <formula>NOT(ISERROR(SEARCH("Betroffenheitsgrad zu niedrig",F47)))</formula>
    </cfRule>
    <cfRule type="containsText" dxfId="543" priority="163" operator="containsText" text="Preissteigerung zu niedrig">
      <formula>NOT(ISERROR(SEARCH("Preissteigerung zu niedrig",F47)))</formula>
    </cfRule>
    <cfRule type="containsText" dxfId="542" priority="164" operator="containsText" text="Mindestpreissteigerung erreicht">
      <formula>NOT(ISERROR(SEARCH("Mindestpreissteigerung erreicht",F47)))</formula>
    </cfRule>
    <cfRule type="containsText" dxfId="541" priority="165" operator="containsText" text="Bagatellgrenze nicht erreicht">
      <formula>NOT(ISERROR(SEARCH("Bagatellgrenze nicht erreicht",F47)))</formula>
    </cfRule>
  </conditionalFormatting>
  <conditionalFormatting sqref="F47">
    <cfRule type="containsText" dxfId="540" priority="159" operator="containsText" text="Bitte Auswahl treffen">
      <formula>NOT(ISERROR(SEARCH("Bitte Auswahl treffen",F47)))</formula>
    </cfRule>
    <cfRule type="containsText" dxfId="539" priority="160" operator="containsText" text="Bitte Dateneingabe vornehmen">
      <formula>NOT(ISERROR(SEARCH("Bitte Dateneingabe vornehmen",F47)))</formula>
    </cfRule>
  </conditionalFormatting>
  <conditionalFormatting sqref="F47">
    <cfRule type="containsText" dxfId="538" priority="158" operator="containsText" text="Leistungsausschluss Stufe 1">
      <formula>NOT(ISERROR(SEARCH("Leistungsausschluss Stufe 1",F47)))</formula>
    </cfRule>
  </conditionalFormatting>
  <conditionalFormatting sqref="F47:N47">
    <cfRule type="containsText" dxfId="537" priority="157" operator="containsText" text="Kein Leistungsausschluss">
      <formula>NOT(ISERROR(SEARCH("Kein Leistungsausschluss",F47)))</formula>
    </cfRule>
  </conditionalFormatting>
  <conditionalFormatting sqref="M77">
    <cfRule type="containsText" dxfId="536" priority="152" operator="containsText" text="Mindestbetroffenheitsgrad erreicht">
      <formula>NOT(ISERROR(SEARCH("Mindestbetroffenheitsgrad erreicht",M77)))</formula>
    </cfRule>
    <cfRule type="containsText" dxfId="535" priority="153" operator="containsText" text="Betroffenheitsgrad zu niedrig">
      <formula>NOT(ISERROR(SEARCH("Betroffenheitsgrad zu niedrig",M77)))</formula>
    </cfRule>
    <cfRule type="containsText" dxfId="534" priority="154" operator="containsText" text="Preissteigerung zu niedrig">
      <formula>NOT(ISERROR(SEARCH("Preissteigerung zu niedrig",M77)))</formula>
    </cfRule>
    <cfRule type="containsText" dxfId="533" priority="155" operator="containsText" text="Mindestpreissteigerung erreicht">
      <formula>NOT(ISERROR(SEARCH("Mindestpreissteigerung erreicht",M77)))</formula>
    </cfRule>
    <cfRule type="containsText" dxfId="532" priority="156" operator="containsText" text="Bagatellgrenze nicht erreicht">
      <formula>NOT(ISERROR(SEARCH("Bagatellgrenze nicht erreicht",M77)))</formula>
    </cfRule>
  </conditionalFormatting>
  <conditionalFormatting sqref="M77">
    <cfRule type="containsText" dxfId="531" priority="150" operator="containsText" text="Bitte Auswahl treffen">
      <formula>NOT(ISERROR(SEARCH("Bitte Auswahl treffen",M77)))</formula>
    </cfRule>
    <cfRule type="containsText" dxfId="530" priority="151" operator="containsText" text="Bitte Dateneingabe vornehmen">
      <formula>NOT(ISERROR(SEARCH("Bitte Dateneingabe vornehmen",M77)))</formula>
    </cfRule>
  </conditionalFormatting>
  <conditionalFormatting sqref="M77">
    <cfRule type="containsText" dxfId="529" priority="149" operator="containsText" text="Leistungsausschluss Stufe 1">
      <formula>NOT(ISERROR(SEARCH("Leistungsausschluss Stufe 1",M77)))</formula>
    </cfRule>
  </conditionalFormatting>
  <conditionalFormatting sqref="M77">
    <cfRule type="containsText" dxfId="528" priority="148" operator="containsText" text="Kein Leistungsausschluss">
      <formula>NOT(ISERROR(SEARCH("Kein Leistungsausschluss",M77)))</formula>
    </cfRule>
  </conditionalFormatting>
  <conditionalFormatting sqref="AQ20:AY20">
    <cfRule type="containsText" dxfId="527" priority="147" operator="containsText" text="Händische Auswahl fehlerhaft">
      <formula>NOT(ISERROR(SEARCH("Händische Auswahl fehlerhaft",AQ20)))</formula>
    </cfRule>
  </conditionalFormatting>
  <conditionalFormatting sqref="Y19:Z19 AB19:AC19 AE19">
    <cfRule type="cellIs" dxfId="526" priority="143" operator="greaterThan">
      <formula>9</formula>
    </cfRule>
  </conditionalFormatting>
  <conditionalFormatting sqref="B58:C58 B57 B60:C60 B59 B62:C62 B61 B63">
    <cfRule type="containsText" dxfId="525" priority="114" operator="containsText" text="Mindestbetroffenheitsgrad erreicht">
      <formula>NOT(ISERROR(SEARCH("Mindestbetroffenheitsgrad erreicht",B57)))</formula>
    </cfRule>
    <cfRule type="containsText" dxfId="524" priority="115" operator="containsText" text="Betroffenheitsgrad zu niedrig">
      <formula>NOT(ISERROR(SEARCH("Betroffenheitsgrad zu niedrig",B57)))</formula>
    </cfRule>
    <cfRule type="containsText" dxfId="523" priority="116" operator="containsText" text="Preissteigerung zu niedrig">
      <formula>NOT(ISERROR(SEARCH("Preissteigerung zu niedrig",B57)))</formula>
    </cfRule>
    <cfRule type="containsText" dxfId="522" priority="117" operator="containsText" text="Mindestpreissteigerung erreicht">
      <formula>NOT(ISERROR(SEARCH("Mindestpreissteigerung erreicht",B57)))</formula>
    </cfRule>
    <cfRule type="containsText" dxfId="521" priority="118" operator="containsText" text="Bagatellgrenze nicht erreicht">
      <formula>NOT(ISERROR(SEARCH("Bagatellgrenze nicht erreicht",B57)))</formula>
    </cfRule>
  </conditionalFormatting>
  <conditionalFormatting sqref="B58:C58 B55:B57 B60:C60 B59 B62:C62 B61 B63">
    <cfRule type="containsText" dxfId="520" priority="112" operator="containsText" text="Bitte Auswahl treffen">
      <formula>NOT(ISERROR(SEARCH("Bitte Auswahl treffen",B55)))</formula>
    </cfRule>
    <cfRule type="containsText" dxfId="519" priority="113" operator="containsText" text="Bitte Dateneingabe vornehmen">
      <formula>NOT(ISERROR(SEARCH("Bitte Dateneingabe vornehmen",B55)))</formula>
    </cfRule>
  </conditionalFormatting>
  <conditionalFormatting sqref="AQ55:AY56 AQ58:AY58 AQ60:AY60 AQ62:AY62">
    <cfRule type="containsText" dxfId="518" priority="65" operator="containsText" text="Leistungsausschluss">
      <formula>NOT(ISERROR(SEARCH("Leistungsausschluss",AQ55)))</formula>
    </cfRule>
    <cfRule type="containsText" dxfId="517" priority="66" operator="containsText" text="Bitte Dateneingabe vornehmen">
      <formula>NOT(ISERROR(SEARCH("Bitte Dateneingabe vornehmen",AQ55)))</formula>
    </cfRule>
  </conditionalFormatting>
  <conditionalFormatting sqref="AQ57:AY57">
    <cfRule type="containsText" dxfId="516" priority="63" operator="containsText" text="Leistungsausschluss">
      <formula>NOT(ISERROR(SEARCH("Leistungsausschluss",AQ57)))</formula>
    </cfRule>
    <cfRule type="containsText" dxfId="515" priority="64" operator="containsText" text="Bitte Dateneingabe vornehmen">
      <formula>NOT(ISERROR(SEARCH("Bitte Dateneingabe vornehmen",AQ57)))</formula>
    </cfRule>
  </conditionalFormatting>
  <conditionalFormatting sqref="AQ59:AY59">
    <cfRule type="containsText" dxfId="514" priority="61" operator="containsText" text="Leistungsausschluss">
      <formula>NOT(ISERROR(SEARCH("Leistungsausschluss",AQ59)))</formula>
    </cfRule>
    <cfRule type="containsText" dxfId="513" priority="62" operator="containsText" text="Bitte Dateneingabe vornehmen">
      <formula>NOT(ISERROR(SEARCH("Bitte Dateneingabe vornehmen",AQ59)))</formula>
    </cfRule>
  </conditionalFormatting>
  <conditionalFormatting sqref="AQ61:AY61">
    <cfRule type="containsText" dxfId="512" priority="59" operator="containsText" text="Leistungsausschluss">
      <formula>NOT(ISERROR(SEARCH("Leistungsausschluss",AQ61)))</formula>
    </cfRule>
    <cfRule type="containsText" dxfId="511" priority="60" operator="containsText" text="Bitte Dateneingabe vornehmen">
      <formula>NOT(ISERROR(SEARCH("Bitte Dateneingabe vornehmen",AQ61)))</formula>
    </cfRule>
  </conditionalFormatting>
  <conditionalFormatting sqref="AQ63:AY63">
    <cfRule type="containsText" dxfId="510" priority="57" operator="containsText" text="Leistungsausschluss">
      <formula>NOT(ISERROR(SEARCH("Leistungsausschluss",AQ63)))</formula>
    </cfRule>
    <cfRule type="containsText" dxfId="509" priority="58" operator="containsText" text="Bitte Dateneingabe vornehmen">
      <formula>NOT(ISERROR(SEARCH("Bitte Dateneingabe vornehmen",AQ63)))</formula>
    </cfRule>
  </conditionalFormatting>
  <conditionalFormatting sqref="B80:H82 C83:H83">
    <cfRule type="containsText" dxfId="508" priority="52" operator="containsText" text="Mindestbetroffenheitsgrad erreicht">
      <formula>NOT(ISERROR(SEARCH("Mindestbetroffenheitsgrad erreicht",B80)))</formula>
    </cfRule>
    <cfRule type="containsText" dxfId="507" priority="53" operator="containsText" text="Betroffenheitsgrad zu niedrig">
      <formula>NOT(ISERROR(SEARCH("Betroffenheitsgrad zu niedrig",B80)))</formula>
    </cfRule>
    <cfRule type="containsText" dxfId="506" priority="54" operator="containsText" text="Preissteigerung zu niedrig">
      <formula>NOT(ISERROR(SEARCH("Preissteigerung zu niedrig",B80)))</formula>
    </cfRule>
    <cfRule type="containsText" dxfId="505" priority="55" operator="containsText" text="Mindestpreissteigerung erreicht">
      <formula>NOT(ISERROR(SEARCH("Mindestpreissteigerung erreicht",B80)))</formula>
    </cfRule>
    <cfRule type="containsText" dxfId="504" priority="56" operator="containsText" text="Bagatellgrenze nicht erreicht">
      <formula>NOT(ISERROR(SEARCH("Bagatellgrenze nicht erreicht",B80)))</formula>
    </cfRule>
  </conditionalFormatting>
  <conditionalFormatting sqref="AI83:AP83 AO82:AP82 AO80:AQ80 AI81:AP81 B81:Y82 C83:Y83">
    <cfRule type="containsText" dxfId="503" priority="50" operator="containsText" text="Bitte Auswahl treffen">
      <formula>NOT(ISERROR(SEARCH("Bitte Auswahl treffen",B80)))</formula>
    </cfRule>
    <cfRule type="containsText" dxfId="502" priority="51" operator="containsText" text="Bitte Dateneingabe vornehmen">
      <formula>NOT(ISERROR(SEARCH("Bitte Dateneingabe vornehmen",B80)))</formula>
    </cfRule>
  </conditionalFormatting>
  <conditionalFormatting sqref="AQ75">
    <cfRule type="containsText" dxfId="501" priority="48" operator="containsText" text="Bitte Auswahl treffen">
      <formula>NOT(ISERROR(SEARCH("Bitte Auswahl treffen",AQ75)))</formula>
    </cfRule>
    <cfRule type="containsText" dxfId="500" priority="49" operator="containsText" text="Bitte Dateneingabe vornehmen">
      <formula>NOT(ISERROR(SEARCH("Bitte Dateneingabe vornehmen",AQ75)))</formula>
    </cfRule>
  </conditionalFormatting>
  <conditionalFormatting sqref="AQ66">
    <cfRule type="containsText" dxfId="499" priority="46" operator="containsText" text="Bitte Auswahl treffen">
      <formula>NOT(ISERROR(SEARCH("Bitte Auswahl treffen",AQ66)))</formula>
    </cfRule>
    <cfRule type="containsText" dxfId="498" priority="47" operator="containsText" text="Bitte Dateneingabe vornehmen">
      <formula>NOT(ISERROR(SEARCH("Bitte Dateneingabe vornehmen",AQ66)))</formula>
    </cfRule>
  </conditionalFormatting>
  <dataValidations count="3">
    <dataValidation type="whole" allowBlank="1" showInputMessage="1" showErrorMessage="1" errorTitle="Bitte Eingabe überprüfen" error="Bitte pro Feld nur eine Zahl zwischen 0 und 9 eingeben." sqref="Y19:Z19 AB19:AC19 AE19">
      <formula1>0</formula1>
      <formula2>9</formula2>
    </dataValidation>
    <dataValidation type="whole" allowBlank="1" showInputMessage="1" showErrorMessage="1" sqref="AE80:AI80">
      <formula1>0</formula1>
      <formula2>9999</formula2>
    </dataValidation>
    <dataValidation type="whole" operator="greaterThanOrEqual" allowBlank="1" showInputMessage="1" showErrorMessage="1" errorTitle="Bitte Eingabe überprüfen" error="Nur positive Werte zugelassen" sqref="AE85:AK85 AE87:AK87 AE97:AK97 AE99:AK99">
      <formula1>0</formula1>
    </dataValidation>
  </dataValidations>
  <hyperlinks>
    <hyperlink ref="AQ14:BA15" r:id="rId1" display="Statistisches Bundesamt"/>
    <hyperlink ref="AQ73" r:id="rId2"/>
    <hyperlink ref="AW73" r:id="rId3"/>
    <hyperlink ref="AQ72" r:id="rId4"/>
  </hyperlinks>
  <pageMargins left="0.70866141732283472" right="0.70866141732283472" top="0.74803149606299213" bottom="0.74803149606299213" header="0.31496062992125984" footer="0.31496062992125984"/>
  <pageSetup paperSize="9" scale="55" fitToHeight="0" orientation="portrait" horizontalDpi="1200" verticalDpi="1200" r:id="rId5"/>
  <headerFooter>
    <oddHeader>&amp;L&amp;"-,Fett"&amp;14Berechnungshilfe "Sächsisches Härtefallprogramm Energie für Unternehmen (Modul 2022)"&amp;R&amp;G</oddHeader>
  </headerFooter>
  <rowBreaks count="1" manualBreakCount="1">
    <brk id="49" max="41" man="1"/>
  </rowBreaks>
  <legacyDrawingHF r:id="rId6"/>
  <extLst>
    <ext xmlns:x14="http://schemas.microsoft.com/office/spreadsheetml/2009/9/main" uri="{CCE6A557-97BC-4b89-ADB6-D9C93CAAB3DF}">
      <x14:dataValidations xmlns:xm="http://schemas.microsoft.com/office/excel/2006/main" count="9">
        <x14:dataValidation type="list" allowBlank="1" showInputMessage="1" showErrorMessage="1">
          <x14:formula1>
            <xm:f>I_SV!$A$3:$A$4</xm:f>
          </x14:formula1>
          <xm:sqref>U25:W25 K48:M49 K35:M40 K46:M46 Z55:AB55 AD55:AF55 AH55:AJ55 Z57:AB57 AD57:AF57 AH57:AJ57 Z59:AB59 AD59:AF59 AH59:AJ59 Z61:AB61 AD61:AF61 AH61:AJ61 Z63:AB63 AD63:AF63 AH63:AJ63 AL63:AN63 AL61:AN61 AL59:AN59 AL57:AN57 AL55:AN55 Z66:AB66</xm:sqref>
        </x14:dataValidation>
        <x14:dataValidation type="list" allowBlank="1" showInputMessage="1" showErrorMessage="1">
          <x14:formula1>
            <xm:f>WZ!$A$2:$A$19</xm:f>
          </x14:formula1>
          <xm:sqref>I9:AN9</xm:sqref>
        </x14:dataValidation>
        <x14:dataValidation type="list" allowBlank="1" showInputMessage="1" showErrorMessage="1">
          <x14:formula1>
            <xm:f>WZ!$E$23:$E$46</xm:f>
          </x14:formula1>
          <xm:sqref>I11:AN11</xm:sqref>
        </x14:dataValidation>
        <x14:dataValidation type="list" allowBlank="1" showInputMessage="1" showErrorMessage="1">
          <x14:formula1>
            <xm:f>WZ!$E$113:$E$132</xm:f>
          </x14:formula1>
          <xm:sqref>I13:AN13</xm:sqref>
        </x14:dataValidation>
        <x14:dataValidation type="list" allowBlank="1" showInputMessage="1" showErrorMessage="1">
          <x14:formula1>
            <xm:f>WZ!$E$385:$E$393</xm:f>
          </x14:formula1>
          <xm:sqref>I15:AN15</xm:sqref>
        </x14:dataValidation>
        <x14:dataValidation type="list" allowBlank="1" showInputMessage="1" showErrorMessage="1">
          <x14:formula1>
            <xm:f>WZ!$E$999:$E$1006</xm:f>
          </x14:formula1>
          <xm:sqref>I17:AN17</xm:sqref>
        </x14:dataValidation>
        <x14:dataValidation type="list" allowBlank="1" showInputMessage="1" showErrorMessage="1" errorTitle="Bitte Eingabe überprüfen" error="Bitte nur &quot;Ja&quot; oder &quot;Nein&quot; auswählen">
          <x14:formula1>
            <xm:f>I_SV!$A$3:$A$4</xm:f>
          </x14:formula1>
          <xm:sqref>AA29:AC29 AA32:AC32 AA40:AC40 AA45:AC45</xm:sqref>
        </x14:dataValidation>
        <x14:dataValidation type="list" allowBlank="1" showInputMessage="1" showErrorMessage="1" errorTitle="Bitte Eingaben prüfen" error="Bitte nur &quot;Ja&quot; oder &quot;Nein&quot; auswählen">
          <x14:formula1>
            <xm:f>I_SV!$A$3:$A$4</xm:f>
          </x14:formula1>
          <xm:sqref>AE89:AG89 AE92:AG92 AE94:AG94</xm:sqref>
        </x14:dataValidation>
        <x14:dataValidation type="list" allowBlank="1" showInputMessage="1" showErrorMessage="1">
          <x14:formula1>
            <xm:f>I_SV!$P$3:$P$6</xm:f>
          </x14:formula1>
          <xm:sqref>M75:V75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rgb="FFFFFF00"/>
    <pageSetUpPr fitToPage="1"/>
  </sheetPr>
  <dimension ref="A1:T82"/>
  <sheetViews>
    <sheetView showGridLines="0" zoomScale="85" zoomScaleNormal="85" workbookViewId="0">
      <selection activeCell="A15" sqref="A15"/>
    </sheetView>
  </sheetViews>
  <sheetFormatPr baseColWidth="10" defaultRowHeight="15" x14ac:dyDescent="0.25"/>
  <cols>
    <col min="1" max="1" width="16.28515625" style="2" customWidth="1"/>
    <col min="2" max="2" width="11.42578125" style="2"/>
    <col min="3" max="3" width="42" style="2" customWidth="1"/>
    <col min="4" max="4" width="33" style="2" customWidth="1"/>
    <col min="5" max="5" width="20.140625" style="2" customWidth="1"/>
    <col min="6" max="6" width="44.5703125" style="2" customWidth="1"/>
    <col min="7" max="10" width="21.140625" style="2" customWidth="1"/>
    <col min="11" max="12" width="19.140625" style="2" customWidth="1"/>
    <col min="13" max="13" width="4" style="2" customWidth="1"/>
    <col min="14" max="14" width="29.5703125" style="357" customWidth="1"/>
    <col min="15" max="15" width="29.5703125" style="2" hidden="1" customWidth="1"/>
    <col min="16" max="18" width="11.42578125" style="5" hidden="1" customWidth="1"/>
    <col min="19" max="19" width="4.140625" style="2" hidden="1" customWidth="1"/>
    <col min="20" max="20" width="11.42578125" style="36" hidden="1" customWidth="1"/>
    <col min="21" max="21" width="0" style="2" hidden="1" customWidth="1"/>
    <col min="22" max="16384" width="11.42578125" style="2"/>
  </cols>
  <sheetData>
    <row r="1" spans="1:20" ht="18.75" x14ac:dyDescent="0.25">
      <c r="A1" s="71" t="s">
        <v>1948</v>
      </c>
      <c r="L1" s="23" t="str">
        <f>Stammdaten!AN1</f>
        <v>V. 1.0.2</v>
      </c>
    </row>
    <row r="2" spans="1:20" ht="18.75" customHeight="1" thickBot="1" x14ac:dyDescent="0.3">
      <c r="B2" s="26"/>
      <c r="C2" s="26"/>
      <c r="D2" s="26"/>
      <c r="E2" s="26"/>
      <c r="F2" s="26"/>
      <c r="G2" s="26"/>
      <c r="H2" s="26"/>
      <c r="I2" s="26"/>
      <c r="J2" s="26"/>
      <c r="K2" s="26"/>
      <c r="L2" s="26"/>
    </row>
    <row r="3" spans="1:20" ht="30" customHeight="1" thickBot="1" x14ac:dyDescent="0.3">
      <c r="A3" s="449" t="s">
        <v>2231</v>
      </c>
      <c r="B3" s="450"/>
      <c r="C3" s="450"/>
      <c r="D3" s="450"/>
      <c r="E3" s="450"/>
      <c r="F3" s="450"/>
      <c r="G3" s="450"/>
      <c r="H3" s="450"/>
      <c r="I3" s="450"/>
      <c r="J3" s="450"/>
      <c r="K3" s="450"/>
      <c r="L3" s="451"/>
    </row>
    <row r="5" spans="1:20" x14ac:dyDescent="0.25">
      <c r="A5" s="2" t="s">
        <v>1970</v>
      </c>
      <c r="F5" s="448"/>
      <c r="G5" s="448"/>
      <c r="H5" s="16" t="s">
        <v>2172</v>
      </c>
      <c r="I5" s="455" t="str">
        <f>IF(P5=1,"Bitte Auswahl treffen","")</f>
        <v>Bitte Auswahl treffen</v>
      </c>
      <c r="J5" s="455"/>
      <c r="P5" s="5">
        <f>IF(F5="",1,0)</f>
        <v>1</v>
      </c>
      <c r="Q5" s="5">
        <f>IFERROR(VLOOKUP(F5,I_SV!A37:B40,2,FALSE),0)</f>
        <v>0</v>
      </c>
      <c r="R5" s="5">
        <f>IF(F5="",1,0)</f>
        <v>1</v>
      </c>
      <c r="T5" s="36">
        <f>P5</f>
        <v>1</v>
      </c>
    </row>
    <row r="6" spans="1:20" ht="15.75" thickBot="1" x14ac:dyDescent="0.3"/>
    <row r="7" spans="1:20" ht="15.75" thickTop="1" x14ac:dyDescent="0.25">
      <c r="G7" s="456" t="s">
        <v>2032</v>
      </c>
      <c r="H7" s="457"/>
      <c r="I7" s="457"/>
      <c r="J7" s="458"/>
    </row>
    <row r="8" spans="1:20" ht="30" customHeight="1" thickBot="1" x14ac:dyDescent="0.3">
      <c r="A8" s="452" t="s">
        <v>2242</v>
      </c>
      <c r="B8" s="438" t="s">
        <v>1952</v>
      </c>
      <c r="C8" s="438" t="s">
        <v>2174</v>
      </c>
      <c r="D8" s="438" t="s">
        <v>2232</v>
      </c>
      <c r="E8" s="438" t="s">
        <v>2175</v>
      </c>
      <c r="F8" s="441" t="s">
        <v>1953</v>
      </c>
      <c r="G8" s="444" t="s">
        <v>2176</v>
      </c>
      <c r="H8" s="445"/>
      <c r="I8" s="446" t="s">
        <v>2177</v>
      </c>
      <c r="J8" s="447"/>
      <c r="K8" s="436" t="s">
        <v>2178</v>
      </c>
      <c r="L8" s="437"/>
      <c r="N8" s="434" t="s">
        <v>2018</v>
      </c>
      <c r="O8" s="203"/>
    </row>
    <row r="9" spans="1:20" ht="17.25" customHeight="1" thickBot="1" x14ac:dyDescent="0.3">
      <c r="A9" s="453"/>
      <c r="B9" s="443"/>
      <c r="C9" s="439"/>
      <c r="D9" s="439"/>
      <c r="E9" s="439"/>
      <c r="F9" s="454"/>
      <c r="G9" s="162">
        <v>2021</v>
      </c>
      <c r="H9" s="117">
        <v>2022</v>
      </c>
      <c r="I9" s="117">
        <v>2021</v>
      </c>
      <c r="J9" s="163">
        <v>2022</v>
      </c>
      <c r="K9" s="206">
        <v>2021</v>
      </c>
      <c r="L9" s="207">
        <v>2022</v>
      </c>
      <c r="N9" s="434"/>
      <c r="O9" s="203"/>
    </row>
    <row r="10" spans="1:20" ht="17.25" hidden="1" customHeight="1" x14ac:dyDescent="0.25">
      <c r="A10" s="139"/>
      <c r="B10" s="196"/>
      <c r="C10" s="197"/>
      <c r="D10" s="198"/>
      <c r="E10" s="198"/>
      <c r="F10" s="198"/>
      <c r="G10" s="199"/>
      <c r="H10" s="200"/>
      <c r="I10" s="200"/>
      <c r="J10" s="201"/>
      <c r="K10" s="202"/>
      <c r="L10" s="195"/>
      <c r="N10" s="358"/>
      <c r="O10" s="203"/>
    </row>
    <row r="11" spans="1:20" ht="30" customHeight="1" x14ac:dyDescent="0.25">
      <c r="A11" s="154"/>
      <c r="B11" s="96">
        <v>1</v>
      </c>
      <c r="C11" s="156"/>
      <c r="D11" s="157"/>
      <c r="E11" s="111"/>
      <c r="F11" s="155"/>
      <c r="G11" s="164"/>
      <c r="H11" s="112"/>
      <c r="I11" s="112"/>
      <c r="J11" s="165"/>
      <c r="K11" s="193"/>
      <c r="L11" s="194"/>
      <c r="N11" s="353" t="str">
        <f>IF(T11=1,"Dateneingabe unvollständig","")</f>
        <v/>
      </c>
      <c r="O11" s="394"/>
      <c r="P11" s="5">
        <f t="shared" ref="P11:P30" si="0">IF(E11="Ja",1,0)</f>
        <v>0</v>
      </c>
      <c r="Q11" s="5">
        <f>IF(AND(SUM(G11:L11)&lt;&gt;0,OR(A11="",C11="",D11="",E11="")),1,IF(AND(OR(G11="",H11="",I11="",J11=""),OR(A11&lt;&gt;"",C11&lt;&gt;"",D11&lt;&gt;"",E11&lt;&gt;"")),1,0))</f>
        <v>0</v>
      </c>
      <c r="R11" s="5">
        <f>IF(AND($Q$5=3,SUM(G11:J11)&gt;0,OR(K11="",L11="")),1,0)</f>
        <v>0</v>
      </c>
      <c r="T11" s="36">
        <f>IF(AND(SUM(G11:J11)&gt;0,OR(G11="",H11="",I11="",J11="",Q11=1,R11=1)),1,0)</f>
        <v>0</v>
      </c>
    </row>
    <row r="12" spans="1:20" ht="30" customHeight="1" x14ac:dyDescent="0.25">
      <c r="A12" s="154"/>
      <c r="B12" s="96">
        <v>2</v>
      </c>
      <c r="C12" s="156"/>
      <c r="D12" s="157"/>
      <c r="E12" s="111"/>
      <c r="F12" s="155"/>
      <c r="G12" s="164"/>
      <c r="H12" s="112"/>
      <c r="I12" s="112"/>
      <c r="J12" s="165"/>
      <c r="K12" s="193"/>
      <c r="L12" s="194"/>
      <c r="N12" s="353" t="str">
        <f t="shared" ref="N12:N37" si="1">IF(T12=1,"Dateneingabe unvollständig","")</f>
        <v/>
      </c>
      <c r="O12" s="394"/>
      <c r="P12" s="5">
        <f t="shared" si="0"/>
        <v>0</v>
      </c>
      <c r="Q12" s="5">
        <f t="shared" ref="Q12:Q30" si="2">IF(AND(SUM(G12:L12)&lt;&gt;0,OR(A12="",C12="",D12="",E12="")),1,IF(AND(OR(G12="",H12="",I12="",J12=""),OR(A12&lt;&gt;"",C12&lt;&gt;"",D12&lt;&gt;"",E12&lt;&gt;"")),1,0))</f>
        <v>0</v>
      </c>
      <c r="R12" s="5">
        <f t="shared" ref="R12:R36" si="3">IF(AND($Q$5=3,OR(K12="",L12="")),1,0)</f>
        <v>0</v>
      </c>
      <c r="T12" s="36">
        <f t="shared" ref="T12:T30" si="4">IF(AND(SUM(G12:J12)&gt;0,OR(G12="",H12="",I12="",J12="",Q12=1,R12=1)),1,0)</f>
        <v>0</v>
      </c>
    </row>
    <row r="13" spans="1:20" ht="30" customHeight="1" x14ac:dyDescent="0.25">
      <c r="A13" s="154"/>
      <c r="B13" s="96">
        <v>3</v>
      </c>
      <c r="C13" s="109"/>
      <c r="D13" s="110"/>
      <c r="E13" s="111"/>
      <c r="F13" s="155"/>
      <c r="G13" s="164"/>
      <c r="H13" s="112"/>
      <c r="I13" s="112"/>
      <c r="J13" s="165"/>
      <c r="K13" s="193"/>
      <c r="L13" s="194"/>
      <c r="N13" s="353" t="str">
        <f t="shared" si="1"/>
        <v/>
      </c>
      <c r="O13" s="394"/>
      <c r="P13" s="5">
        <f t="shared" si="0"/>
        <v>0</v>
      </c>
      <c r="Q13" s="5">
        <f t="shared" si="2"/>
        <v>0</v>
      </c>
      <c r="R13" s="5">
        <f t="shared" si="3"/>
        <v>0</v>
      </c>
      <c r="T13" s="36">
        <f t="shared" si="4"/>
        <v>0</v>
      </c>
    </row>
    <row r="14" spans="1:20" ht="30" customHeight="1" x14ac:dyDescent="0.25">
      <c r="A14" s="154"/>
      <c r="B14" s="96">
        <v>4</v>
      </c>
      <c r="C14" s="109"/>
      <c r="D14" s="110"/>
      <c r="E14" s="111"/>
      <c r="F14" s="155"/>
      <c r="G14" s="164"/>
      <c r="H14" s="112"/>
      <c r="I14" s="112"/>
      <c r="J14" s="165"/>
      <c r="K14" s="193"/>
      <c r="L14" s="194"/>
      <c r="N14" s="353" t="str">
        <f t="shared" si="1"/>
        <v/>
      </c>
      <c r="O14" s="394"/>
      <c r="P14" s="5">
        <f t="shared" si="0"/>
        <v>0</v>
      </c>
      <c r="Q14" s="5">
        <f t="shared" si="2"/>
        <v>0</v>
      </c>
      <c r="R14" s="5">
        <f t="shared" si="3"/>
        <v>0</v>
      </c>
      <c r="T14" s="36">
        <f t="shared" si="4"/>
        <v>0</v>
      </c>
    </row>
    <row r="15" spans="1:20" ht="30" customHeight="1" x14ac:dyDescent="0.25">
      <c r="A15" s="154"/>
      <c r="B15" s="96">
        <v>5</v>
      </c>
      <c r="C15" s="109"/>
      <c r="D15" s="110"/>
      <c r="E15" s="111"/>
      <c r="F15" s="155"/>
      <c r="G15" s="164"/>
      <c r="H15" s="112"/>
      <c r="I15" s="112"/>
      <c r="J15" s="165"/>
      <c r="K15" s="193"/>
      <c r="L15" s="194"/>
      <c r="N15" s="353" t="str">
        <f t="shared" si="1"/>
        <v/>
      </c>
      <c r="O15" s="394"/>
      <c r="P15" s="5">
        <f t="shared" si="0"/>
        <v>0</v>
      </c>
      <c r="Q15" s="5">
        <f t="shared" si="2"/>
        <v>0</v>
      </c>
      <c r="R15" s="5">
        <f t="shared" si="3"/>
        <v>0</v>
      </c>
      <c r="T15" s="36">
        <f t="shared" si="4"/>
        <v>0</v>
      </c>
    </row>
    <row r="16" spans="1:20" ht="30" customHeight="1" x14ac:dyDescent="0.25">
      <c r="A16" s="154"/>
      <c r="B16" s="96">
        <v>6</v>
      </c>
      <c r="C16" s="109"/>
      <c r="D16" s="110"/>
      <c r="E16" s="111"/>
      <c r="F16" s="155"/>
      <c r="G16" s="164"/>
      <c r="H16" s="112"/>
      <c r="I16" s="112"/>
      <c r="J16" s="165"/>
      <c r="K16" s="193"/>
      <c r="L16" s="194"/>
      <c r="N16" s="353" t="str">
        <f t="shared" si="1"/>
        <v/>
      </c>
      <c r="O16" s="394"/>
      <c r="P16" s="5">
        <f t="shared" si="0"/>
        <v>0</v>
      </c>
      <c r="Q16" s="5">
        <f t="shared" si="2"/>
        <v>0</v>
      </c>
      <c r="R16" s="5">
        <f t="shared" si="3"/>
        <v>0</v>
      </c>
      <c r="T16" s="36">
        <f t="shared" si="4"/>
        <v>0</v>
      </c>
    </row>
    <row r="17" spans="1:20" ht="30" customHeight="1" x14ac:dyDescent="0.25">
      <c r="A17" s="154"/>
      <c r="B17" s="96">
        <v>7</v>
      </c>
      <c r="C17" s="109"/>
      <c r="D17" s="110"/>
      <c r="E17" s="111"/>
      <c r="F17" s="155"/>
      <c r="G17" s="164"/>
      <c r="H17" s="112"/>
      <c r="I17" s="112"/>
      <c r="J17" s="165"/>
      <c r="K17" s="161"/>
      <c r="L17" s="116"/>
      <c r="N17" s="353" t="str">
        <f t="shared" si="1"/>
        <v/>
      </c>
      <c r="O17" s="394"/>
      <c r="P17" s="5">
        <f t="shared" si="0"/>
        <v>0</v>
      </c>
      <c r="Q17" s="5">
        <f t="shared" si="2"/>
        <v>0</v>
      </c>
      <c r="R17" s="5">
        <f t="shared" si="3"/>
        <v>0</v>
      </c>
      <c r="T17" s="36">
        <f t="shared" si="4"/>
        <v>0</v>
      </c>
    </row>
    <row r="18" spans="1:20" ht="30" customHeight="1" x14ac:dyDescent="0.25">
      <c r="A18" s="154"/>
      <c r="B18" s="96">
        <v>8</v>
      </c>
      <c r="C18" s="109"/>
      <c r="D18" s="110"/>
      <c r="E18" s="111"/>
      <c r="F18" s="155"/>
      <c r="G18" s="164"/>
      <c r="H18" s="112"/>
      <c r="I18" s="112"/>
      <c r="J18" s="165"/>
      <c r="K18" s="161"/>
      <c r="L18" s="116"/>
      <c r="N18" s="353" t="str">
        <f t="shared" si="1"/>
        <v/>
      </c>
      <c r="O18" s="394"/>
      <c r="P18" s="5">
        <f t="shared" si="0"/>
        <v>0</v>
      </c>
      <c r="Q18" s="5">
        <f t="shared" si="2"/>
        <v>0</v>
      </c>
      <c r="R18" s="5">
        <f t="shared" si="3"/>
        <v>0</v>
      </c>
      <c r="T18" s="36">
        <f t="shared" si="4"/>
        <v>0</v>
      </c>
    </row>
    <row r="19" spans="1:20" ht="30" customHeight="1" x14ac:dyDescent="0.25">
      <c r="A19" s="154"/>
      <c r="B19" s="96">
        <v>9</v>
      </c>
      <c r="C19" s="109"/>
      <c r="D19" s="110"/>
      <c r="E19" s="111"/>
      <c r="F19" s="155"/>
      <c r="G19" s="164"/>
      <c r="H19" s="112"/>
      <c r="I19" s="112"/>
      <c r="J19" s="165"/>
      <c r="K19" s="161"/>
      <c r="L19" s="116"/>
      <c r="N19" s="353" t="str">
        <f t="shared" si="1"/>
        <v/>
      </c>
      <c r="O19" s="394"/>
      <c r="P19" s="5">
        <f t="shared" si="0"/>
        <v>0</v>
      </c>
      <c r="Q19" s="5">
        <f t="shared" si="2"/>
        <v>0</v>
      </c>
      <c r="R19" s="5">
        <f t="shared" si="3"/>
        <v>0</v>
      </c>
      <c r="T19" s="36">
        <f t="shared" si="4"/>
        <v>0</v>
      </c>
    </row>
    <row r="20" spans="1:20" ht="30" customHeight="1" x14ac:dyDescent="0.25">
      <c r="A20" s="154"/>
      <c r="B20" s="96">
        <v>10</v>
      </c>
      <c r="C20" s="109"/>
      <c r="D20" s="110"/>
      <c r="E20" s="111"/>
      <c r="F20" s="155"/>
      <c r="G20" s="164"/>
      <c r="H20" s="112"/>
      <c r="I20" s="112"/>
      <c r="J20" s="165"/>
      <c r="K20" s="161"/>
      <c r="L20" s="116"/>
      <c r="N20" s="353" t="str">
        <f t="shared" si="1"/>
        <v/>
      </c>
      <c r="O20" s="394"/>
      <c r="P20" s="5">
        <f t="shared" si="0"/>
        <v>0</v>
      </c>
      <c r="Q20" s="5">
        <f t="shared" si="2"/>
        <v>0</v>
      </c>
      <c r="R20" s="5">
        <f t="shared" si="3"/>
        <v>0</v>
      </c>
      <c r="T20" s="36">
        <f t="shared" si="4"/>
        <v>0</v>
      </c>
    </row>
    <row r="21" spans="1:20" ht="30" customHeight="1" x14ac:dyDescent="0.25">
      <c r="A21" s="154"/>
      <c r="B21" s="96">
        <v>11</v>
      </c>
      <c r="C21" s="113"/>
      <c r="D21" s="114"/>
      <c r="E21" s="115"/>
      <c r="F21" s="155"/>
      <c r="G21" s="164"/>
      <c r="H21" s="112"/>
      <c r="I21" s="112"/>
      <c r="J21" s="165"/>
      <c r="K21" s="161"/>
      <c r="L21" s="116"/>
      <c r="N21" s="353" t="str">
        <f t="shared" si="1"/>
        <v/>
      </c>
      <c r="O21" s="394"/>
      <c r="P21" s="5">
        <f t="shared" si="0"/>
        <v>0</v>
      </c>
      <c r="Q21" s="5">
        <f t="shared" si="2"/>
        <v>0</v>
      </c>
      <c r="R21" s="5">
        <f t="shared" si="3"/>
        <v>0</v>
      </c>
      <c r="T21" s="36">
        <f t="shared" si="4"/>
        <v>0</v>
      </c>
    </row>
    <row r="22" spans="1:20" ht="30" customHeight="1" x14ac:dyDescent="0.25">
      <c r="A22" s="154"/>
      <c r="B22" s="96">
        <v>12</v>
      </c>
      <c r="C22" s="113"/>
      <c r="D22" s="114"/>
      <c r="E22" s="115"/>
      <c r="F22" s="155"/>
      <c r="G22" s="164"/>
      <c r="H22" s="112"/>
      <c r="I22" s="112"/>
      <c r="J22" s="165"/>
      <c r="K22" s="161"/>
      <c r="L22" s="116"/>
      <c r="N22" s="353" t="str">
        <f t="shared" si="1"/>
        <v/>
      </c>
      <c r="O22" s="394"/>
      <c r="P22" s="5">
        <f t="shared" si="0"/>
        <v>0</v>
      </c>
      <c r="Q22" s="5">
        <f t="shared" si="2"/>
        <v>0</v>
      </c>
      <c r="R22" s="5">
        <f t="shared" si="3"/>
        <v>0</v>
      </c>
      <c r="T22" s="36">
        <f t="shared" si="4"/>
        <v>0</v>
      </c>
    </row>
    <row r="23" spans="1:20" ht="30" customHeight="1" x14ac:dyDescent="0.25">
      <c r="A23" s="154"/>
      <c r="B23" s="96">
        <v>13</v>
      </c>
      <c r="C23" s="113"/>
      <c r="D23" s="114"/>
      <c r="E23" s="115"/>
      <c r="F23" s="155"/>
      <c r="G23" s="164"/>
      <c r="H23" s="112"/>
      <c r="I23" s="112"/>
      <c r="J23" s="165"/>
      <c r="K23" s="161"/>
      <c r="L23" s="116"/>
      <c r="N23" s="353" t="str">
        <f t="shared" si="1"/>
        <v/>
      </c>
      <c r="O23" s="394"/>
      <c r="P23" s="5">
        <f t="shared" si="0"/>
        <v>0</v>
      </c>
      <c r="Q23" s="5">
        <f t="shared" si="2"/>
        <v>0</v>
      </c>
      <c r="R23" s="5">
        <f t="shared" si="3"/>
        <v>0</v>
      </c>
      <c r="T23" s="36">
        <f t="shared" si="4"/>
        <v>0</v>
      </c>
    </row>
    <row r="24" spans="1:20" ht="30" customHeight="1" x14ac:dyDescent="0.25">
      <c r="A24" s="154"/>
      <c r="B24" s="96">
        <v>14</v>
      </c>
      <c r="C24" s="113"/>
      <c r="D24" s="114"/>
      <c r="E24" s="115"/>
      <c r="F24" s="155"/>
      <c r="G24" s="164"/>
      <c r="H24" s="112"/>
      <c r="I24" s="112"/>
      <c r="J24" s="165"/>
      <c r="K24" s="161"/>
      <c r="L24" s="116"/>
      <c r="N24" s="353" t="str">
        <f t="shared" si="1"/>
        <v/>
      </c>
      <c r="O24" s="394"/>
      <c r="P24" s="5">
        <f t="shared" si="0"/>
        <v>0</v>
      </c>
      <c r="Q24" s="5">
        <f t="shared" si="2"/>
        <v>0</v>
      </c>
      <c r="R24" s="5">
        <f t="shared" si="3"/>
        <v>0</v>
      </c>
      <c r="T24" s="36">
        <f t="shared" si="4"/>
        <v>0</v>
      </c>
    </row>
    <row r="25" spans="1:20" ht="30" customHeight="1" x14ac:dyDescent="0.25">
      <c r="A25" s="154"/>
      <c r="B25" s="96">
        <v>15</v>
      </c>
      <c r="C25" s="113"/>
      <c r="D25" s="114"/>
      <c r="E25" s="115"/>
      <c r="F25" s="155"/>
      <c r="G25" s="164"/>
      <c r="H25" s="112"/>
      <c r="I25" s="112"/>
      <c r="J25" s="165"/>
      <c r="K25" s="161"/>
      <c r="L25" s="116"/>
      <c r="N25" s="353" t="str">
        <f t="shared" si="1"/>
        <v/>
      </c>
      <c r="O25" s="394"/>
      <c r="P25" s="5">
        <f t="shared" si="0"/>
        <v>0</v>
      </c>
      <c r="Q25" s="5">
        <f t="shared" si="2"/>
        <v>0</v>
      </c>
      <c r="R25" s="5">
        <f t="shared" si="3"/>
        <v>0</v>
      </c>
      <c r="T25" s="36">
        <f t="shared" si="4"/>
        <v>0</v>
      </c>
    </row>
    <row r="26" spans="1:20" ht="30" customHeight="1" x14ac:dyDescent="0.25">
      <c r="A26" s="154"/>
      <c r="B26" s="96">
        <v>16</v>
      </c>
      <c r="C26" s="113"/>
      <c r="D26" s="114"/>
      <c r="E26" s="115"/>
      <c r="F26" s="155"/>
      <c r="G26" s="164"/>
      <c r="H26" s="112"/>
      <c r="I26" s="112"/>
      <c r="J26" s="165"/>
      <c r="K26" s="161"/>
      <c r="L26" s="116"/>
      <c r="N26" s="353" t="str">
        <f t="shared" si="1"/>
        <v/>
      </c>
      <c r="O26" s="394"/>
      <c r="P26" s="5">
        <f t="shared" si="0"/>
        <v>0</v>
      </c>
      <c r="Q26" s="5">
        <f t="shared" si="2"/>
        <v>0</v>
      </c>
      <c r="R26" s="5">
        <f t="shared" si="3"/>
        <v>0</v>
      </c>
      <c r="T26" s="36">
        <f t="shared" si="4"/>
        <v>0</v>
      </c>
    </row>
    <row r="27" spans="1:20" ht="30" customHeight="1" x14ac:dyDescent="0.25">
      <c r="A27" s="154"/>
      <c r="B27" s="96">
        <v>17</v>
      </c>
      <c r="C27" s="113"/>
      <c r="D27" s="114"/>
      <c r="E27" s="115"/>
      <c r="F27" s="155"/>
      <c r="G27" s="164"/>
      <c r="H27" s="112"/>
      <c r="I27" s="112"/>
      <c r="J27" s="165"/>
      <c r="K27" s="161"/>
      <c r="L27" s="116"/>
      <c r="N27" s="353" t="str">
        <f t="shared" si="1"/>
        <v/>
      </c>
      <c r="O27" s="394"/>
      <c r="P27" s="5">
        <f t="shared" si="0"/>
        <v>0</v>
      </c>
      <c r="Q27" s="5">
        <f t="shared" si="2"/>
        <v>0</v>
      </c>
      <c r="R27" s="5">
        <f t="shared" si="3"/>
        <v>0</v>
      </c>
      <c r="T27" s="36">
        <f t="shared" si="4"/>
        <v>0</v>
      </c>
    </row>
    <row r="28" spans="1:20" ht="30" customHeight="1" x14ac:dyDescent="0.25">
      <c r="A28" s="154"/>
      <c r="B28" s="96">
        <v>18</v>
      </c>
      <c r="C28" s="113"/>
      <c r="D28" s="114"/>
      <c r="E28" s="115"/>
      <c r="F28" s="155"/>
      <c r="G28" s="164"/>
      <c r="H28" s="112"/>
      <c r="I28" s="112"/>
      <c r="J28" s="165"/>
      <c r="K28" s="161"/>
      <c r="L28" s="116"/>
      <c r="N28" s="353" t="str">
        <f t="shared" si="1"/>
        <v/>
      </c>
      <c r="O28" s="394"/>
      <c r="P28" s="5">
        <f t="shared" si="0"/>
        <v>0</v>
      </c>
      <c r="Q28" s="5">
        <f t="shared" si="2"/>
        <v>0</v>
      </c>
      <c r="R28" s="5">
        <f t="shared" si="3"/>
        <v>0</v>
      </c>
      <c r="T28" s="36">
        <f t="shared" si="4"/>
        <v>0</v>
      </c>
    </row>
    <row r="29" spans="1:20" ht="30" customHeight="1" x14ac:dyDescent="0.25">
      <c r="A29" s="154"/>
      <c r="B29" s="96">
        <v>19</v>
      </c>
      <c r="C29" s="113"/>
      <c r="D29" s="114"/>
      <c r="E29" s="115"/>
      <c r="F29" s="155"/>
      <c r="G29" s="164"/>
      <c r="H29" s="112"/>
      <c r="I29" s="112"/>
      <c r="J29" s="165"/>
      <c r="K29" s="161"/>
      <c r="L29" s="116"/>
      <c r="N29" s="353" t="str">
        <f t="shared" si="1"/>
        <v/>
      </c>
      <c r="O29" s="394"/>
      <c r="P29" s="5">
        <f t="shared" si="0"/>
        <v>0</v>
      </c>
      <c r="Q29" s="5">
        <f t="shared" si="2"/>
        <v>0</v>
      </c>
      <c r="R29" s="5">
        <f t="shared" si="3"/>
        <v>0</v>
      </c>
      <c r="T29" s="36">
        <f t="shared" si="4"/>
        <v>0</v>
      </c>
    </row>
    <row r="30" spans="1:20" ht="30" customHeight="1" x14ac:dyDescent="0.25">
      <c r="A30" s="154"/>
      <c r="B30" s="96">
        <v>20</v>
      </c>
      <c r="C30" s="113"/>
      <c r="D30" s="114"/>
      <c r="E30" s="115"/>
      <c r="F30" s="155"/>
      <c r="G30" s="164"/>
      <c r="H30" s="112"/>
      <c r="I30" s="112"/>
      <c r="J30" s="165"/>
      <c r="K30" s="161"/>
      <c r="L30" s="116"/>
      <c r="N30" s="353" t="str">
        <f t="shared" si="1"/>
        <v/>
      </c>
      <c r="O30" s="394"/>
      <c r="P30" s="5">
        <f t="shared" si="0"/>
        <v>0</v>
      </c>
      <c r="Q30" s="5">
        <f t="shared" si="2"/>
        <v>0</v>
      </c>
      <c r="R30" s="5">
        <f t="shared" si="3"/>
        <v>0</v>
      </c>
      <c r="T30" s="36">
        <f t="shared" si="4"/>
        <v>0</v>
      </c>
    </row>
    <row r="31" spans="1:20" ht="30" customHeight="1" x14ac:dyDescent="0.25">
      <c r="A31" s="158" t="s">
        <v>1974</v>
      </c>
      <c r="B31" s="96" t="s">
        <v>1975</v>
      </c>
      <c r="C31" s="440" t="s">
        <v>1986</v>
      </c>
      <c r="D31" s="440"/>
      <c r="E31" s="440"/>
      <c r="F31" s="440"/>
      <c r="G31" s="164"/>
      <c r="H31" s="112"/>
      <c r="I31" s="112"/>
      <c r="J31" s="165"/>
      <c r="K31" s="161"/>
      <c r="L31" s="116"/>
      <c r="N31" s="353" t="str">
        <f t="shared" si="1"/>
        <v/>
      </c>
      <c r="O31" s="394"/>
      <c r="P31" s="5">
        <v>0</v>
      </c>
      <c r="R31" s="5">
        <f t="shared" si="3"/>
        <v>0</v>
      </c>
      <c r="T31" s="36">
        <f t="shared" ref="T31:T35" si="5">IF(AND(SUM(G31:J31)&gt;0,OR(G31="",H31="",I31="",J31="",R31=1)),1,0)</f>
        <v>0</v>
      </c>
    </row>
    <row r="32" spans="1:20" ht="30" customHeight="1" x14ac:dyDescent="0.25">
      <c r="A32" s="158" t="s">
        <v>1955</v>
      </c>
      <c r="B32" s="96" t="s">
        <v>1976</v>
      </c>
      <c r="C32" s="440" t="s">
        <v>1986</v>
      </c>
      <c r="D32" s="440"/>
      <c r="E32" s="440"/>
      <c r="F32" s="440"/>
      <c r="G32" s="164"/>
      <c r="H32" s="112"/>
      <c r="I32" s="112"/>
      <c r="J32" s="165"/>
      <c r="K32" s="161"/>
      <c r="L32" s="116"/>
      <c r="N32" s="353" t="str">
        <f t="shared" si="1"/>
        <v/>
      </c>
      <c r="O32" s="394"/>
      <c r="P32" s="5">
        <v>0</v>
      </c>
      <c r="R32" s="5">
        <f t="shared" si="3"/>
        <v>0</v>
      </c>
      <c r="T32" s="36">
        <f t="shared" si="5"/>
        <v>0</v>
      </c>
    </row>
    <row r="33" spans="1:20" ht="30" customHeight="1" x14ac:dyDescent="0.25">
      <c r="A33" s="158" t="s">
        <v>1956</v>
      </c>
      <c r="B33" s="96" t="s">
        <v>1977</v>
      </c>
      <c r="C33" s="440" t="s">
        <v>1986</v>
      </c>
      <c r="D33" s="440"/>
      <c r="E33" s="440"/>
      <c r="F33" s="440"/>
      <c r="G33" s="164"/>
      <c r="H33" s="112"/>
      <c r="I33" s="112"/>
      <c r="J33" s="165"/>
      <c r="K33" s="161"/>
      <c r="L33" s="116"/>
      <c r="N33" s="353" t="str">
        <f t="shared" si="1"/>
        <v/>
      </c>
      <c r="O33" s="394"/>
      <c r="P33" s="5">
        <v>0</v>
      </c>
      <c r="R33" s="5">
        <f t="shared" si="3"/>
        <v>0</v>
      </c>
      <c r="T33" s="36">
        <f t="shared" si="5"/>
        <v>0</v>
      </c>
    </row>
    <row r="34" spans="1:20" ht="30" customHeight="1" x14ac:dyDescent="0.25">
      <c r="A34" s="158" t="s">
        <v>1957</v>
      </c>
      <c r="B34" s="96" t="s">
        <v>1978</v>
      </c>
      <c r="C34" s="440" t="s">
        <v>1986</v>
      </c>
      <c r="D34" s="440"/>
      <c r="E34" s="440"/>
      <c r="F34" s="440"/>
      <c r="G34" s="164"/>
      <c r="H34" s="112"/>
      <c r="I34" s="112"/>
      <c r="J34" s="165"/>
      <c r="K34" s="161"/>
      <c r="L34" s="116"/>
      <c r="N34" s="353" t="str">
        <f t="shared" si="1"/>
        <v/>
      </c>
      <c r="O34" s="394"/>
      <c r="P34" s="5">
        <v>0</v>
      </c>
      <c r="R34" s="5">
        <f t="shared" si="3"/>
        <v>0</v>
      </c>
      <c r="T34" s="36">
        <f t="shared" si="5"/>
        <v>0</v>
      </c>
    </row>
    <row r="35" spans="1:20" ht="30" customHeight="1" x14ac:dyDescent="0.25">
      <c r="A35" s="158" t="s">
        <v>1958</v>
      </c>
      <c r="B35" s="96" t="s">
        <v>1979</v>
      </c>
      <c r="C35" s="440" t="s">
        <v>1986</v>
      </c>
      <c r="D35" s="440"/>
      <c r="E35" s="440"/>
      <c r="F35" s="440"/>
      <c r="G35" s="164"/>
      <c r="H35" s="112"/>
      <c r="I35" s="112"/>
      <c r="J35" s="165"/>
      <c r="K35" s="161"/>
      <c r="L35" s="116"/>
      <c r="N35" s="353" t="str">
        <f t="shared" si="1"/>
        <v/>
      </c>
      <c r="O35" s="394"/>
      <c r="P35" s="5">
        <v>0</v>
      </c>
      <c r="R35" s="5">
        <f t="shared" si="3"/>
        <v>0</v>
      </c>
      <c r="T35" s="36">
        <f t="shared" si="5"/>
        <v>0</v>
      </c>
    </row>
    <row r="36" spans="1:20" ht="30" customHeight="1" x14ac:dyDescent="0.25">
      <c r="A36" s="158" t="s">
        <v>1959</v>
      </c>
      <c r="B36" s="96" t="s">
        <v>1980</v>
      </c>
      <c r="C36" s="440" t="s">
        <v>1986</v>
      </c>
      <c r="D36" s="440"/>
      <c r="E36" s="440"/>
      <c r="F36" s="440"/>
      <c r="G36" s="164"/>
      <c r="H36" s="112"/>
      <c r="I36" s="112"/>
      <c r="J36" s="165"/>
      <c r="K36" s="161"/>
      <c r="L36" s="116"/>
      <c r="N36" s="353" t="str">
        <f t="shared" si="1"/>
        <v/>
      </c>
      <c r="O36" s="394"/>
      <c r="P36" s="5">
        <v>0</v>
      </c>
      <c r="R36" s="5">
        <f t="shared" si="3"/>
        <v>0</v>
      </c>
      <c r="T36" s="36">
        <f>IF(AND(SUM(G36:J36)&gt;0,OR(G36="",H36="",I36="",J36="",R36=1)),1,0)</f>
        <v>0</v>
      </c>
    </row>
    <row r="37" spans="1:20" ht="16.5" thickBot="1" x14ac:dyDescent="0.3">
      <c r="A37" s="100" t="s">
        <v>2173</v>
      </c>
      <c r="B37" s="100"/>
      <c r="C37" s="100"/>
      <c r="D37" s="100"/>
      <c r="E37" s="100"/>
      <c r="F37" s="100"/>
      <c r="G37" s="171">
        <f t="shared" ref="G37:L37" si="6">SUMIFS(G$11:G$36,$P$11:$P$36,0)</f>
        <v>0</v>
      </c>
      <c r="H37" s="172">
        <f t="shared" si="6"/>
        <v>0</v>
      </c>
      <c r="I37" s="172">
        <f t="shared" si="6"/>
        <v>0</v>
      </c>
      <c r="J37" s="173">
        <f t="shared" si="6"/>
        <v>0</v>
      </c>
      <c r="K37" s="170">
        <f t="shared" si="6"/>
        <v>0</v>
      </c>
      <c r="L37" s="101">
        <f t="shared" si="6"/>
        <v>0</v>
      </c>
      <c r="M37" s="373"/>
      <c r="N37" s="349" t="str">
        <f t="shared" si="1"/>
        <v>Dateneingabe unvollständig</v>
      </c>
      <c r="O37" s="10"/>
      <c r="P37" s="147">
        <f>SUM(G37+G39)</f>
        <v>0</v>
      </c>
      <c r="Q37" s="147">
        <f>H37+H39</f>
        <v>0</v>
      </c>
      <c r="T37" s="36">
        <f>IF(SUM(G37:J37)=0,1,0)</f>
        <v>1</v>
      </c>
    </row>
    <row r="38" spans="1:20" ht="16.5" thickTop="1" x14ac:dyDescent="0.25">
      <c r="A38" s="12"/>
      <c r="B38" s="12"/>
      <c r="C38" s="12"/>
      <c r="D38" s="12"/>
      <c r="E38" s="12"/>
      <c r="F38" s="12"/>
      <c r="G38" s="142"/>
      <c r="H38" s="142"/>
      <c r="I38" s="142"/>
      <c r="J38" s="142"/>
      <c r="K38" s="142"/>
      <c r="L38" s="142"/>
      <c r="P38" s="147">
        <f>I37+I39</f>
        <v>0</v>
      </c>
      <c r="Q38" s="147">
        <f>J37+J39</f>
        <v>0</v>
      </c>
    </row>
    <row r="39" spans="1:20" ht="15.75" x14ac:dyDescent="0.25">
      <c r="A39" s="144" t="s">
        <v>2016</v>
      </c>
      <c r="B39" s="145"/>
      <c r="C39" s="145"/>
      <c r="D39" s="145"/>
      <c r="E39" s="145"/>
      <c r="F39" s="146"/>
      <c r="G39" s="143">
        <f t="shared" ref="G39:L39" si="7">SUMIFS(G$11:G$36,$P$11:$P$36,1)</f>
        <v>0</v>
      </c>
      <c r="H39" s="143">
        <f t="shared" si="7"/>
        <v>0</v>
      </c>
      <c r="I39" s="143">
        <f t="shared" si="7"/>
        <v>0</v>
      </c>
      <c r="J39" s="143">
        <f t="shared" si="7"/>
        <v>0</v>
      </c>
      <c r="K39" s="143">
        <f t="shared" si="7"/>
        <v>0</v>
      </c>
      <c r="L39" s="143">
        <f t="shared" si="7"/>
        <v>0</v>
      </c>
    </row>
    <row r="40" spans="1:20" x14ac:dyDescent="0.25">
      <c r="G40" s="81"/>
      <c r="H40" s="81"/>
      <c r="I40" s="81"/>
      <c r="J40" s="81"/>
      <c r="K40" s="81"/>
      <c r="L40" s="81"/>
    </row>
    <row r="41" spans="1:20" ht="21" x14ac:dyDescent="0.25">
      <c r="F41" s="140" t="s">
        <v>2243</v>
      </c>
      <c r="G41" s="81"/>
      <c r="H41" s="81"/>
      <c r="I41" s="81"/>
      <c r="J41" s="81"/>
      <c r="K41" s="81"/>
      <c r="L41" s="81"/>
    </row>
    <row r="42" spans="1:20" x14ac:dyDescent="0.25">
      <c r="F42" s="433" t="s">
        <v>2022</v>
      </c>
      <c r="G42" s="433"/>
      <c r="H42" s="433"/>
      <c r="I42" s="433"/>
      <c r="J42" s="433"/>
      <c r="K42" s="433"/>
      <c r="L42" s="433"/>
    </row>
    <row r="43" spans="1:20" x14ac:dyDescent="0.25">
      <c r="G43" s="81"/>
      <c r="H43" s="81"/>
      <c r="I43" s="81"/>
      <c r="J43" s="81"/>
      <c r="K43" s="81"/>
      <c r="L43" s="81"/>
    </row>
    <row r="44" spans="1:20" x14ac:dyDescent="0.25">
      <c r="G44" s="441" t="s">
        <v>1949</v>
      </c>
      <c r="H44" s="442"/>
      <c r="I44" s="441" t="s">
        <v>1950</v>
      </c>
      <c r="J44" s="437"/>
      <c r="K44" s="436" t="s">
        <v>1951</v>
      </c>
      <c r="L44" s="437"/>
    </row>
    <row r="45" spans="1:20" ht="15.75" thickBot="1" x14ac:dyDescent="0.3">
      <c r="F45" s="187"/>
      <c r="G45" s="94">
        <v>2021</v>
      </c>
      <c r="H45" s="94">
        <v>2022</v>
      </c>
      <c r="I45" s="94">
        <v>2021</v>
      </c>
      <c r="J45" s="95">
        <v>2022</v>
      </c>
      <c r="K45" s="160">
        <v>2021</v>
      </c>
      <c r="L45" s="95">
        <v>2022</v>
      </c>
    </row>
    <row r="46" spans="1:20" ht="15.75" hidden="1" thickBot="1" x14ac:dyDescent="0.3">
      <c r="G46" s="204"/>
      <c r="H46" s="204"/>
      <c r="I46" s="204"/>
      <c r="J46" s="205"/>
      <c r="K46" s="204"/>
      <c r="L46" s="205"/>
    </row>
    <row r="47" spans="1:20" ht="15.75" x14ac:dyDescent="0.25">
      <c r="A47" s="435"/>
      <c r="B47" s="435"/>
      <c r="C47" s="435"/>
      <c r="D47" s="435"/>
      <c r="F47" s="184" t="s">
        <v>1974</v>
      </c>
      <c r="G47" s="148"/>
      <c r="H47" s="148"/>
      <c r="I47" s="148"/>
      <c r="J47" s="192"/>
      <c r="K47" s="148"/>
      <c r="L47" s="149"/>
    </row>
    <row r="48" spans="1:20" x14ac:dyDescent="0.25">
      <c r="A48" s="435"/>
      <c r="B48" s="435"/>
      <c r="C48" s="435"/>
      <c r="D48" s="435"/>
      <c r="F48" s="105" t="s">
        <v>2179</v>
      </c>
      <c r="G48" s="107"/>
      <c r="H48" s="107"/>
      <c r="I48" s="107"/>
      <c r="J48" s="107"/>
      <c r="K48" s="107"/>
      <c r="L48" s="107"/>
      <c r="N48" s="353" t="str">
        <f>IF(R48=1,"Dateneingabe unvollständig","")</f>
        <v/>
      </c>
      <c r="O48" s="159"/>
      <c r="P48" s="5">
        <f>IF(AND(P50&gt;0,$Q$5&lt;&gt;4,OR(G48="",H48="",I48="",J48="")),1,0)</f>
        <v>0</v>
      </c>
      <c r="Q48" s="5">
        <f>IF(AND(P50&gt;0,$Q$5=3,OR(K48="",L48="")),1,0)</f>
        <v>0</v>
      </c>
      <c r="R48" s="5">
        <f>MAX(P48:Q48)</f>
        <v>0</v>
      </c>
      <c r="T48" s="36">
        <f>R48</f>
        <v>0</v>
      </c>
    </row>
    <row r="49" spans="1:20" x14ac:dyDescent="0.25">
      <c r="A49" s="435"/>
      <c r="B49" s="435"/>
      <c r="C49" s="435"/>
      <c r="D49" s="435"/>
      <c r="F49" s="104" t="s">
        <v>1905</v>
      </c>
      <c r="G49" s="106">
        <f t="shared" ref="G49:L49" si="8">SUMIFS(G$11:G$36,$A$11:$A$36,"Antragsteller",$P$11:$P$36,0)</f>
        <v>0</v>
      </c>
      <c r="H49" s="106">
        <f t="shared" si="8"/>
        <v>0</v>
      </c>
      <c r="I49" s="106">
        <f t="shared" si="8"/>
        <v>0</v>
      </c>
      <c r="J49" s="106">
        <f t="shared" si="8"/>
        <v>0</v>
      </c>
      <c r="K49" s="106">
        <f t="shared" si="8"/>
        <v>0</v>
      </c>
      <c r="L49" s="106">
        <f t="shared" si="8"/>
        <v>0</v>
      </c>
      <c r="N49" s="349"/>
      <c r="O49" s="10"/>
    </row>
    <row r="50" spans="1:20" ht="15.75" thickBot="1" x14ac:dyDescent="0.3">
      <c r="A50" s="435"/>
      <c r="B50" s="435"/>
      <c r="C50" s="435"/>
      <c r="D50" s="435"/>
      <c r="F50" s="152" t="s">
        <v>1981</v>
      </c>
      <c r="G50" s="153">
        <f>SUM(G48:G49)</f>
        <v>0</v>
      </c>
      <c r="H50" s="153">
        <f t="shared" ref="H50:L50" si="9">SUM(H48:H49)</f>
        <v>0</v>
      </c>
      <c r="I50" s="153">
        <f t="shared" si="9"/>
        <v>0</v>
      </c>
      <c r="J50" s="153">
        <f t="shared" si="9"/>
        <v>0</v>
      </c>
      <c r="K50" s="153">
        <f t="shared" si="9"/>
        <v>0</v>
      </c>
      <c r="L50" s="153">
        <f t="shared" si="9"/>
        <v>0</v>
      </c>
      <c r="N50" s="349"/>
      <c r="O50" s="10"/>
      <c r="P50" s="147">
        <f>SUM(G50:L50)</f>
        <v>0</v>
      </c>
    </row>
    <row r="51" spans="1:20" ht="15.75" thickTop="1" x14ac:dyDescent="0.25">
      <c r="A51" s="435"/>
      <c r="B51" s="435"/>
      <c r="C51" s="435"/>
      <c r="D51" s="435"/>
      <c r="F51" s="186" t="s">
        <v>1982</v>
      </c>
      <c r="G51" s="208" t="str">
        <f t="shared" ref="G51:J51" si="10">IFERROR(ROUND(G49/G50,4),"")</f>
        <v/>
      </c>
      <c r="H51" s="208" t="str">
        <f t="shared" si="10"/>
        <v/>
      </c>
      <c r="I51" s="208" t="str">
        <f t="shared" si="10"/>
        <v/>
      </c>
      <c r="J51" s="208" t="str">
        <f t="shared" si="10"/>
        <v/>
      </c>
      <c r="K51" s="208" t="str">
        <f>IF($Q$5=3,IFERROR(ROUND(K49/K50,4),""),"")</f>
        <v/>
      </c>
      <c r="L51" s="208" t="str">
        <f>IF($Q$5=3,IFERROR(ROUND(L49/L50,4),""),"")</f>
        <v/>
      </c>
      <c r="N51" s="352" t="str">
        <f>IFERROR(IF(AND($Q$5=3,MAX(P51:Q51)=1),"Aufteilung unstimmig",""),"")</f>
        <v/>
      </c>
      <c r="O51" s="18"/>
      <c r="P51" s="5" t="e">
        <f>IF(AND($Q$5=3,((G51+I51)/2)&lt;&gt;K51),1,0)</f>
        <v>#VALUE!</v>
      </c>
      <c r="Q51" s="5" t="e">
        <f>IF(AND($Q$5=3,((H51+J51)/2)&lt;&gt;L51),1,0)</f>
        <v>#VALUE!</v>
      </c>
      <c r="R51" s="5">
        <f>IF(AND($Q$5=3,K48&lt;&gt;"",L48&lt;&gt;""),1,0)</f>
        <v>0</v>
      </c>
    </row>
    <row r="52" spans="1:20" x14ac:dyDescent="0.25">
      <c r="C52" s="7"/>
      <c r="D52" s="7"/>
      <c r="G52" s="185"/>
      <c r="H52" s="185"/>
      <c r="I52" s="185"/>
      <c r="J52" s="185"/>
      <c r="K52" s="185"/>
      <c r="L52" s="185"/>
      <c r="N52" s="349"/>
      <c r="O52" s="10"/>
    </row>
    <row r="53" spans="1:20" ht="15.75" x14ac:dyDescent="0.25">
      <c r="A53" s="435"/>
      <c r="B53" s="435"/>
      <c r="C53" s="435"/>
      <c r="D53" s="435"/>
      <c r="F53" s="150" t="s">
        <v>1955</v>
      </c>
      <c r="G53" s="303" t="s">
        <v>2142</v>
      </c>
      <c r="H53" s="190"/>
      <c r="I53" s="190"/>
      <c r="J53" s="191"/>
      <c r="K53" s="190"/>
      <c r="L53" s="191"/>
      <c r="N53" s="349"/>
      <c r="O53" s="10"/>
    </row>
    <row r="54" spans="1:20" x14ac:dyDescent="0.25">
      <c r="A54" s="435"/>
      <c r="B54" s="435"/>
      <c r="C54" s="435"/>
      <c r="D54" s="435"/>
      <c r="F54" s="105" t="s">
        <v>2179</v>
      </c>
      <c r="G54" s="107"/>
      <c r="H54" s="107"/>
      <c r="I54" s="107"/>
      <c r="J54" s="107"/>
      <c r="K54" s="181"/>
      <c r="L54" s="107"/>
      <c r="N54" s="353" t="str">
        <f>IF(R54=1,"Dateneingabe unvollständig","")</f>
        <v/>
      </c>
      <c r="O54" s="159"/>
      <c r="P54" s="5">
        <f>IF(AND(P56&gt;0,$Q$5&lt;&gt;4,OR(G54="",H54="",I54="",J54="")),1,0)</f>
        <v>0</v>
      </c>
      <c r="Q54" s="5">
        <f>IF(AND(P56&gt;0,$Q$5=3,OR(K54="",L54="")),1,0)</f>
        <v>0</v>
      </c>
      <c r="R54" s="5">
        <f>MAX(P54:Q54)</f>
        <v>0</v>
      </c>
      <c r="T54" s="36">
        <f>R54</f>
        <v>0</v>
      </c>
    </row>
    <row r="55" spans="1:20" x14ac:dyDescent="0.25">
      <c r="A55" s="435"/>
      <c r="B55" s="435"/>
      <c r="C55" s="435"/>
      <c r="D55" s="435"/>
      <c r="F55" s="104" t="s">
        <v>1905</v>
      </c>
      <c r="G55" s="106">
        <f t="shared" ref="G55:L55" si="11">SUMIFS(G$11:G$36,$A$11:$A$36,"Verbundenes Unternehmen 1",$P$11:$P$36,0)</f>
        <v>0</v>
      </c>
      <c r="H55" s="106">
        <f t="shared" si="11"/>
        <v>0</v>
      </c>
      <c r="I55" s="106">
        <f t="shared" si="11"/>
        <v>0</v>
      </c>
      <c r="J55" s="106">
        <f t="shared" si="11"/>
        <v>0</v>
      </c>
      <c r="K55" s="182">
        <f t="shared" si="11"/>
        <v>0</v>
      </c>
      <c r="L55" s="106">
        <f t="shared" si="11"/>
        <v>0</v>
      </c>
      <c r="N55" s="349"/>
      <c r="O55" s="10"/>
    </row>
    <row r="56" spans="1:20" ht="15.75" thickBot="1" x14ac:dyDescent="0.3">
      <c r="A56" s="435"/>
      <c r="B56" s="435"/>
      <c r="C56" s="435"/>
      <c r="D56" s="435"/>
      <c r="F56" s="152" t="s">
        <v>1981</v>
      </c>
      <c r="G56" s="153">
        <f>SUM(G54:G55)</f>
        <v>0</v>
      </c>
      <c r="H56" s="153">
        <f t="shared" ref="H56" si="12">SUM(H54:H55)</f>
        <v>0</v>
      </c>
      <c r="I56" s="153">
        <f t="shared" ref="I56" si="13">SUM(I54:I55)</f>
        <v>0</v>
      </c>
      <c r="J56" s="153">
        <f t="shared" ref="J56" si="14">SUM(J54:J55)</f>
        <v>0</v>
      </c>
      <c r="K56" s="183">
        <f t="shared" ref="K56" si="15">SUM(K54:K55)</f>
        <v>0</v>
      </c>
      <c r="L56" s="153">
        <f t="shared" ref="L56" si="16">SUM(L54:L55)</f>
        <v>0</v>
      </c>
      <c r="N56" s="349"/>
      <c r="O56" s="10"/>
      <c r="P56" s="147">
        <f>IF(AND($Q$5&lt;&gt;4,SUM(G56:L56)&gt;0),SUM(G56:L56),0)</f>
        <v>0</v>
      </c>
    </row>
    <row r="57" spans="1:20" ht="15.75" thickTop="1" x14ac:dyDescent="0.25">
      <c r="A57" s="435"/>
      <c r="B57" s="435"/>
      <c r="C57" s="435"/>
      <c r="D57" s="435"/>
      <c r="F57" s="186" t="s">
        <v>1982</v>
      </c>
      <c r="G57" s="209" t="str">
        <f t="shared" ref="G57" si="17">IFERROR(ROUND(G55/G56,4),"")</f>
        <v/>
      </c>
      <c r="H57" s="209" t="str">
        <f t="shared" ref="H57" si="18">IFERROR(ROUND(H55/H56,4),"")</f>
        <v/>
      </c>
      <c r="I57" s="209" t="str">
        <f t="shared" ref="I57" si="19">IFERROR(ROUND(I55/I56,4),"")</f>
        <v/>
      </c>
      <c r="J57" s="209" t="str">
        <f t="shared" ref="J57" si="20">IFERROR(ROUND(J55/J56,4),"")</f>
        <v/>
      </c>
      <c r="K57" s="209" t="str">
        <f>IFERROR(ROUND(K55/K56,4),"")</f>
        <v/>
      </c>
      <c r="L57" s="209" t="str">
        <f>IFERROR(ROUND(L55/L56,4),"")</f>
        <v/>
      </c>
      <c r="N57" s="352" t="str">
        <f>IFERROR(IF(AND($Q$5=3,MAX(P57:Q57)=1),"Aufteilung unstimmig",""),"")</f>
        <v/>
      </c>
      <c r="O57" s="18"/>
      <c r="P57" s="5" t="e">
        <f>IF(((G57+I57)/2)&lt;&gt;K57,1,0)</f>
        <v>#VALUE!</v>
      </c>
      <c r="Q57" s="5" t="e">
        <f>IF(((H57+J57)/2)&lt;&gt;L57,1,0)</f>
        <v>#VALUE!</v>
      </c>
      <c r="R57" s="5">
        <f>IF(AND($Q$5=3,K54&lt;&gt;"",L54&lt;&gt;""),1,0)</f>
        <v>0</v>
      </c>
    </row>
    <row r="58" spans="1:20" x14ac:dyDescent="0.25">
      <c r="C58" s="7"/>
      <c r="D58" s="7"/>
      <c r="G58" s="185"/>
      <c r="H58" s="185"/>
      <c r="I58" s="185"/>
      <c r="J58" s="185"/>
      <c r="K58" s="185"/>
      <c r="L58" s="185"/>
      <c r="N58" s="349"/>
      <c r="O58" s="10"/>
    </row>
    <row r="59" spans="1:20" ht="15.75" x14ac:dyDescent="0.25">
      <c r="A59" s="435"/>
      <c r="B59" s="435"/>
      <c r="C59" s="435"/>
      <c r="D59" s="435"/>
      <c r="F59" s="150" t="s">
        <v>1956</v>
      </c>
      <c r="G59" s="303" t="s">
        <v>2142</v>
      </c>
      <c r="H59" s="190"/>
      <c r="I59" s="190"/>
      <c r="J59" s="191"/>
      <c r="K59" s="190"/>
      <c r="L59" s="191"/>
      <c r="N59" s="349"/>
      <c r="O59" s="10"/>
    </row>
    <row r="60" spans="1:20" x14ac:dyDescent="0.25">
      <c r="A60" s="435"/>
      <c r="B60" s="435"/>
      <c r="C60" s="435"/>
      <c r="D60" s="435"/>
      <c r="F60" s="105" t="s">
        <v>2179</v>
      </c>
      <c r="G60" s="188"/>
      <c r="H60" s="188"/>
      <c r="I60" s="188"/>
      <c r="J60" s="188"/>
      <c r="K60" s="189"/>
      <c r="L60" s="188"/>
      <c r="N60" s="353" t="str">
        <f>IF(R60=1,"Dateneingabe unvollständig","")</f>
        <v/>
      </c>
      <c r="O60" s="159"/>
      <c r="P60" s="5">
        <f>IF(AND(P62&gt;0,$Q$5&lt;&gt;4,OR(G60="",H60="",I60="",J60="")),1,0)</f>
        <v>0</v>
      </c>
      <c r="Q60" s="5">
        <f>IF(AND(P62&gt;0,$Q$5=3,OR(K60="",L60="")),1,0)</f>
        <v>0</v>
      </c>
      <c r="R60" s="5">
        <f>MAX(P60:Q60)</f>
        <v>0</v>
      </c>
      <c r="T60" s="36">
        <f>R60</f>
        <v>0</v>
      </c>
    </row>
    <row r="61" spans="1:20" x14ac:dyDescent="0.25">
      <c r="A61" s="435"/>
      <c r="B61" s="435"/>
      <c r="C61" s="435"/>
      <c r="D61" s="435"/>
      <c r="F61" s="104" t="s">
        <v>1905</v>
      </c>
      <c r="G61" s="106">
        <f t="shared" ref="G61:L61" si="21">SUMIFS(G$11:G$36,$A$11:$A$36,"Verbundenes Unternehmen 2",$P$11:$P$36,0)</f>
        <v>0</v>
      </c>
      <c r="H61" s="106">
        <f t="shared" si="21"/>
        <v>0</v>
      </c>
      <c r="I61" s="106">
        <f t="shared" si="21"/>
        <v>0</v>
      </c>
      <c r="J61" s="106">
        <f t="shared" si="21"/>
        <v>0</v>
      </c>
      <c r="K61" s="182">
        <f t="shared" si="21"/>
        <v>0</v>
      </c>
      <c r="L61" s="106">
        <f t="shared" si="21"/>
        <v>0</v>
      </c>
      <c r="N61" s="349"/>
      <c r="O61" s="10"/>
    </row>
    <row r="62" spans="1:20" ht="15.75" thickBot="1" x14ac:dyDescent="0.3">
      <c r="A62" s="435"/>
      <c r="B62" s="435"/>
      <c r="C62" s="435"/>
      <c r="D62" s="435"/>
      <c r="F62" s="152" t="s">
        <v>1981</v>
      </c>
      <c r="G62" s="153">
        <f>SUM(G60:G61)</f>
        <v>0</v>
      </c>
      <c r="H62" s="153">
        <f t="shared" ref="H62" si="22">SUM(H60:H61)</f>
        <v>0</v>
      </c>
      <c r="I62" s="153">
        <f t="shared" ref="I62" si="23">SUM(I60:I61)</f>
        <v>0</v>
      </c>
      <c r="J62" s="153">
        <f t="shared" ref="J62" si="24">SUM(J60:J61)</f>
        <v>0</v>
      </c>
      <c r="K62" s="183">
        <f t="shared" ref="K62" si="25">SUM(K60:K61)</f>
        <v>0</v>
      </c>
      <c r="L62" s="153">
        <f t="shared" ref="L62" si="26">SUM(L60:L61)</f>
        <v>0</v>
      </c>
      <c r="N62" s="349"/>
      <c r="O62" s="10"/>
      <c r="P62" s="147">
        <f>IF(AND($Q$5&lt;&gt;4,SUM(G62:L62)&gt;0),SUM(G62:L62),0)</f>
        <v>0</v>
      </c>
    </row>
    <row r="63" spans="1:20" ht="15.75" thickTop="1" x14ac:dyDescent="0.25">
      <c r="A63" s="435"/>
      <c r="B63" s="435"/>
      <c r="C63" s="435"/>
      <c r="D63" s="435"/>
      <c r="F63" s="186" t="s">
        <v>1982</v>
      </c>
      <c r="G63" s="298" t="str">
        <f>IFERROR(ROUND(G61/G62,4),"")</f>
        <v/>
      </c>
      <c r="H63" s="298" t="str">
        <f t="shared" ref="H63" si="27">IFERROR(ROUND(H61/H62,4),"")</f>
        <v/>
      </c>
      <c r="I63" s="298" t="str">
        <f t="shared" ref="I63" si="28">IFERROR(ROUND(I61/I62,4),"")</f>
        <v/>
      </c>
      <c r="J63" s="298" t="str">
        <f t="shared" ref="J63" si="29">IFERROR(ROUND(J61/J62,4),"")</f>
        <v/>
      </c>
      <c r="K63" s="298" t="str">
        <f>IFERROR(ROUND(K61/K62,4),"")</f>
        <v/>
      </c>
      <c r="L63" s="298" t="str">
        <f>IFERROR(ROUND(L61/L62,4),"")</f>
        <v/>
      </c>
      <c r="N63" s="352" t="str">
        <f>IFERROR(IF(AND($Q$5=3,MAX(P63:Q63)=1),"Aufteilung unstimmig",""),"")</f>
        <v/>
      </c>
      <c r="O63" s="18"/>
      <c r="P63" s="5" t="e">
        <f>IF(((G63+I63)/2)&lt;&gt;K63,1,0)</f>
        <v>#VALUE!</v>
      </c>
      <c r="Q63" s="5" t="e">
        <f>IF(((H63+J63)/2)&lt;&gt;L63,1,0)</f>
        <v>#VALUE!</v>
      </c>
      <c r="R63" s="5">
        <f>IF(AND($Q$5=3,K60&lt;&gt;"",L60&lt;&gt;""),1,0)</f>
        <v>0</v>
      </c>
    </row>
    <row r="64" spans="1:20" x14ac:dyDescent="0.25">
      <c r="C64" s="7"/>
      <c r="D64" s="7"/>
      <c r="G64" s="185"/>
      <c r="H64" s="185"/>
      <c r="I64" s="185"/>
      <c r="J64" s="185"/>
      <c r="K64" s="185"/>
      <c r="L64" s="185"/>
      <c r="N64" s="349"/>
      <c r="O64" s="10"/>
    </row>
    <row r="65" spans="1:20" ht="15.75" x14ac:dyDescent="0.25">
      <c r="A65" s="435"/>
      <c r="B65" s="435"/>
      <c r="C65" s="435"/>
      <c r="D65" s="435"/>
      <c r="F65" s="150" t="s">
        <v>1957</v>
      </c>
      <c r="G65" s="303" t="s">
        <v>2142</v>
      </c>
      <c r="H65" s="190"/>
      <c r="I65" s="190"/>
      <c r="J65" s="191"/>
      <c r="K65" s="190"/>
      <c r="L65" s="191"/>
      <c r="N65" s="349"/>
      <c r="O65" s="10"/>
    </row>
    <row r="66" spans="1:20" x14ac:dyDescent="0.25">
      <c r="A66" s="435"/>
      <c r="B66" s="435"/>
      <c r="C66" s="435"/>
      <c r="D66" s="435"/>
      <c r="F66" s="105" t="s">
        <v>2179</v>
      </c>
      <c r="G66" s="188"/>
      <c r="H66" s="188"/>
      <c r="I66" s="188"/>
      <c r="J66" s="188"/>
      <c r="K66" s="181"/>
      <c r="L66" s="107"/>
      <c r="N66" s="353" t="str">
        <f>IF(R66=1,"Dateneingabe unvollständig","")</f>
        <v/>
      </c>
      <c r="O66" s="159"/>
      <c r="P66" s="5">
        <f>IF(AND(P68&gt;0,$Q$5&lt;&gt;4,OR(G66="",H66="",I66="",J66="")),1,0)</f>
        <v>0</v>
      </c>
      <c r="Q66" s="5">
        <f>IF(AND(P68&gt;0,$Q$5=3,OR(K66="",L66="")),1,0)</f>
        <v>0</v>
      </c>
      <c r="R66" s="5">
        <f>MAX(P66:Q66)</f>
        <v>0</v>
      </c>
      <c r="T66" s="36">
        <f>R66</f>
        <v>0</v>
      </c>
    </row>
    <row r="67" spans="1:20" x14ac:dyDescent="0.25">
      <c r="A67" s="435"/>
      <c r="B67" s="435"/>
      <c r="C67" s="435"/>
      <c r="D67" s="435"/>
      <c r="F67" s="104" t="s">
        <v>1905</v>
      </c>
      <c r="G67" s="106">
        <f t="shared" ref="G67:L67" si="30">SUMIFS(G$11:G$36,$A$11:$A$36,"Verbundenes Unternehmen 3",$P$11:$P$36,0)</f>
        <v>0</v>
      </c>
      <c r="H67" s="106">
        <f t="shared" si="30"/>
        <v>0</v>
      </c>
      <c r="I67" s="106">
        <f t="shared" si="30"/>
        <v>0</v>
      </c>
      <c r="J67" s="106">
        <f t="shared" si="30"/>
        <v>0</v>
      </c>
      <c r="K67" s="182">
        <f t="shared" si="30"/>
        <v>0</v>
      </c>
      <c r="L67" s="106">
        <f t="shared" si="30"/>
        <v>0</v>
      </c>
      <c r="N67" s="349"/>
      <c r="O67" s="10"/>
    </row>
    <row r="68" spans="1:20" ht="15.75" thickBot="1" x14ac:dyDescent="0.3">
      <c r="A68" s="435"/>
      <c r="B68" s="435"/>
      <c r="C68" s="435"/>
      <c r="D68" s="435"/>
      <c r="F68" s="152" t="s">
        <v>1981</v>
      </c>
      <c r="G68" s="153">
        <f>SUM(G66:G67)</f>
        <v>0</v>
      </c>
      <c r="H68" s="153">
        <f t="shared" ref="H68" si="31">SUM(H66:H67)</f>
        <v>0</v>
      </c>
      <c r="I68" s="153">
        <f t="shared" ref="I68" si="32">SUM(I66:I67)</f>
        <v>0</v>
      </c>
      <c r="J68" s="153">
        <f t="shared" ref="J68" si="33">SUM(J66:J67)</f>
        <v>0</v>
      </c>
      <c r="K68" s="183">
        <f t="shared" ref="K68" si="34">SUM(K66:K67)</f>
        <v>0</v>
      </c>
      <c r="L68" s="153">
        <f t="shared" ref="L68" si="35">SUM(L66:L67)</f>
        <v>0</v>
      </c>
      <c r="N68" s="349"/>
      <c r="O68" s="10"/>
      <c r="P68" s="147">
        <f>IF(AND($Q$5&lt;&gt;4,SUM(G68:L68)&gt;0),SUM(G68:L68),0)</f>
        <v>0</v>
      </c>
    </row>
    <row r="69" spans="1:20" ht="15.75" thickTop="1" x14ac:dyDescent="0.25">
      <c r="A69" s="435"/>
      <c r="B69" s="435"/>
      <c r="C69" s="435"/>
      <c r="D69" s="435"/>
      <c r="F69" s="186" t="s">
        <v>1982</v>
      </c>
      <c r="G69" s="298" t="str">
        <f t="shared" ref="G69" si="36">IFERROR(ROUND(G67/G68,4),"")</f>
        <v/>
      </c>
      <c r="H69" s="298" t="str">
        <f t="shared" ref="H69" si="37">IFERROR(ROUND(H67/H68,4),"")</f>
        <v/>
      </c>
      <c r="I69" s="298" t="str">
        <f t="shared" ref="I69" si="38">IFERROR(ROUND(I67/I68,4),"")</f>
        <v/>
      </c>
      <c r="J69" s="298" t="str">
        <f t="shared" ref="J69" si="39">IFERROR(ROUND(J67/J68,4),"")</f>
        <v/>
      </c>
      <c r="K69" s="298" t="str">
        <f>IFERROR(ROUND(K67/K68,4),"")</f>
        <v/>
      </c>
      <c r="L69" s="298" t="str">
        <f>IFERROR(ROUND(L67/L68,4),"")</f>
        <v/>
      </c>
      <c r="N69" s="352" t="str">
        <f>IFERROR(IF(AND($Q$5=3,MAX(P69:Q69)=1),"Aufteilung unstimmig",""),"")</f>
        <v/>
      </c>
      <c r="O69" s="18"/>
      <c r="P69" s="5" t="e">
        <f>IF(((G69+I69)/2)&lt;&gt;K69,1,0)</f>
        <v>#VALUE!</v>
      </c>
      <c r="Q69" s="5" t="e">
        <f>IF(((H69+J69)/2)&lt;&gt;L69,1,0)</f>
        <v>#VALUE!</v>
      </c>
      <c r="R69" s="5">
        <f>IF(AND($Q$5=3,K66&lt;&gt;"",L66&lt;&gt;""),1,0)</f>
        <v>0</v>
      </c>
    </row>
    <row r="70" spans="1:20" x14ac:dyDescent="0.25">
      <c r="C70" s="7"/>
      <c r="D70" s="7"/>
      <c r="G70" s="185"/>
      <c r="H70" s="185"/>
      <c r="I70" s="185"/>
      <c r="J70" s="185"/>
      <c r="K70" s="185"/>
      <c r="L70" s="185"/>
      <c r="N70" s="349"/>
      <c r="O70" s="10"/>
    </row>
    <row r="71" spans="1:20" ht="15.75" x14ac:dyDescent="0.25">
      <c r="A71" s="435"/>
      <c r="B71" s="435"/>
      <c r="C71" s="435"/>
      <c r="D71" s="435"/>
      <c r="F71" s="150" t="s">
        <v>1958</v>
      </c>
      <c r="G71" s="303" t="s">
        <v>2142</v>
      </c>
      <c r="H71" s="190"/>
      <c r="I71" s="190"/>
      <c r="J71" s="191"/>
      <c r="K71" s="190"/>
      <c r="L71" s="191"/>
      <c r="N71" s="349"/>
      <c r="O71" s="10"/>
    </row>
    <row r="72" spans="1:20" x14ac:dyDescent="0.25">
      <c r="A72" s="435"/>
      <c r="B72" s="435"/>
      <c r="C72" s="435"/>
      <c r="D72" s="435"/>
      <c r="F72" s="105" t="s">
        <v>2179</v>
      </c>
      <c r="G72" s="188">
        <v>0</v>
      </c>
      <c r="H72" s="188">
        <v>0</v>
      </c>
      <c r="I72" s="188">
        <v>0</v>
      </c>
      <c r="J72" s="188">
        <v>0</v>
      </c>
      <c r="K72" s="181"/>
      <c r="L72" s="107"/>
      <c r="N72" s="353" t="str">
        <f>IF(R72=1,"Dateneingabe unvollständig","")</f>
        <v/>
      </c>
      <c r="O72" s="159"/>
      <c r="P72" s="5">
        <f>IF(AND(P74&gt;0,$Q$5&lt;&gt;4,OR(G72="",H72="",I72="",J72="")),1,0)</f>
        <v>0</v>
      </c>
      <c r="Q72" s="5">
        <f>IF(AND(P74&gt;0,$Q$5=3,OR(K72="",L72="")),1,0)</f>
        <v>0</v>
      </c>
      <c r="R72" s="5">
        <f>MAX(P72:Q72)</f>
        <v>0</v>
      </c>
      <c r="T72" s="36">
        <f>R72</f>
        <v>0</v>
      </c>
    </row>
    <row r="73" spans="1:20" x14ac:dyDescent="0.25">
      <c r="A73" s="435"/>
      <c r="B73" s="435"/>
      <c r="C73" s="435"/>
      <c r="D73" s="435"/>
      <c r="F73" s="104" t="s">
        <v>1905</v>
      </c>
      <c r="G73" s="106">
        <f t="shared" ref="G73:L73" si="40">SUMIFS(G$11:G$36,$A$11:$A$36,"Verbundenes Unternehmen 4",$P$11:$P$36,0)</f>
        <v>0</v>
      </c>
      <c r="H73" s="106">
        <f t="shared" si="40"/>
        <v>0</v>
      </c>
      <c r="I73" s="106">
        <f t="shared" si="40"/>
        <v>0</v>
      </c>
      <c r="J73" s="106">
        <f t="shared" si="40"/>
        <v>0</v>
      </c>
      <c r="K73" s="182">
        <f t="shared" si="40"/>
        <v>0</v>
      </c>
      <c r="L73" s="106">
        <f t="shared" si="40"/>
        <v>0</v>
      </c>
      <c r="N73" s="349"/>
      <c r="O73" s="10"/>
    </row>
    <row r="74" spans="1:20" ht="15.75" thickBot="1" x14ac:dyDescent="0.3">
      <c r="A74" s="435"/>
      <c r="B74" s="435"/>
      <c r="C74" s="435"/>
      <c r="D74" s="435"/>
      <c r="F74" s="152" t="s">
        <v>1981</v>
      </c>
      <c r="G74" s="153">
        <f>SUM(G72:G73)</f>
        <v>0</v>
      </c>
      <c r="H74" s="153">
        <f t="shared" ref="H74" si="41">SUM(H72:H73)</f>
        <v>0</v>
      </c>
      <c r="I74" s="153">
        <f t="shared" ref="I74" si="42">SUM(I72:I73)</f>
        <v>0</v>
      </c>
      <c r="J74" s="153">
        <f t="shared" ref="J74" si="43">SUM(J72:J73)</f>
        <v>0</v>
      </c>
      <c r="K74" s="183">
        <f t="shared" ref="K74" si="44">SUM(K72:K73)</f>
        <v>0</v>
      </c>
      <c r="L74" s="153">
        <f t="shared" ref="L74" si="45">SUM(L72:L73)</f>
        <v>0</v>
      </c>
      <c r="N74" s="349"/>
      <c r="O74" s="10"/>
      <c r="P74" s="147">
        <f>IF(AND($Q$5&lt;&gt;4,SUM(G74:L74)&gt;0),SUM(G74:L74),0)</f>
        <v>0</v>
      </c>
    </row>
    <row r="75" spans="1:20" ht="15.75" thickTop="1" x14ac:dyDescent="0.25">
      <c r="A75" s="435"/>
      <c r="B75" s="435"/>
      <c r="C75" s="435"/>
      <c r="D75" s="435"/>
      <c r="F75" s="186" t="s">
        <v>1982</v>
      </c>
      <c r="G75" s="298" t="str">
        <f t="shared" ref="G75" si="46">IFERROR(ROUND(G73/G74,4),"")</f>
        <v/>
      </c>
      <c r="H75" s="298" t="str">
        <f t="shared" ref="H75" si="47">IFERROR(ROUND(H73/H74,4),"")</f>
        <v/>
      </c>
      <c r="I75" s="298" t="str">
        <f t="shared" ref="I75" si="48">IFERROR(ROUND(I73/I74,4),"")</f>
        <v/>
      </c>
      <c r="J75" s="298" t="str">
        <f t="shared" ref="J75" si="49">IFERROR(ROUND(J73/J74,4),"")</f>
        <v/>
      </c>
      <c r="K75" s="298" t="str">
        <f>IFERROR(ROUND(K73/K74,4),"")</f>
        <v/>
      </c>
      <c r="L75" s="298" t="str">
        <f>IFERROR(ROUND(L73/L74,4),"")</f>
        <v/>
      </c>
      <c r="N75" s="352" t="str">
        <f>IFERROR(IF(AND($Q$5=3,MAX(P75:Q75)=1),"Aufteilung unstimmig",""),"")</f>
        <v/>
      </c>
      <c r="O75" s="18"/>
      <c r="P75" s="5" t="e">
        <f>IF(((G75+I75)/2)&lt;&gt;K75,1,0)</f>
        <v>#VALUE!</v>
      </c>
      <c r="Q75" s="5" t="e">
        <f>IF(((H75+J75)/2)&lt;&gt;L75,1,0)</f>
        <v>#VALUE!</v>
      </c>
      <c r="R75" s="5">
        <f>IF(AND($Q$5=3,K72&lt;&gt;"",L72&lt;&gt;""),1,0)</f>
        <v>0</v>
      </c>
    </row>
    <row r="76" spans="1:20" x14ac:dyDescent="0.25">
      <c r="C76" s="7"/>
      <c r="D76" s="7"/>
      <c r="G76" s="185"/>
      <c r="H76" s="185"/>
      <c r="I76" s="185"/>
      <c r="J76" s="185"/>
      <c r="K76" s="185"/>
      <c r="L76" s="185"/>
      <c r="N76" s="349"/>
      <c r="O76" s="10"/>
    </row>
    <row r="77" spans="1:20" ht="15.75" x14ac:dyDescent="0.25">
      <c r="A77" s="435"/>
      <c r="B77" s="435"/>
      <c r="C77" s="435"/>
      <c r="D77" s="435"/>
      <c r="F77" s="150" t="s">
        <v>1959</v>
      </c>
      <c r="G77" s="303" t="s">
        <v>2142</v>
      </c>
      <c r="H77" s="190"/>
      <c r="I77" s="190"/>
      <c r="J77" s="191"/>
      <c r="K77" s="190"/>
      <c r="L77" s="191"/>
      <c r="N77" s="349"/>
      <c r="O77" s="10"/>
    </row>
    <row r="78" spans="1:20" x14ac:dyDescent="0.25">
      <c r="A78" s="435"/>
      <c r="B78" s="435"/>
      <c r="C78" s="435"/>
      <c r="D78" s="435"/>
      <c r="F78" s="105" t="s">
        <v>2179</v>
      </c>
      <c r="G78" s="188">
        <v>0</v>
      </c>
      <c r="H78" s="188">
        <v>0</v>
      </c>
      <c r="I78" s="188">
        <v>0</v>
      </c>
      <c r="J78" s="188">
        <v>0</v>
      </c>
      <c r="K78" s="181"/>
      <c r="L78" s="107"/>
      <c r="N78" s="353" t="str">
        <f>IF(R78=1,"Dateneingabe unvollständig","")</f>
        <v/>
      </c>
      <c r="O78" s="159"/>
      <c r="P78" s="5">
        <f>IF(AND(P80&gt;0,$Q$5&lt;&gt;4,OR(G78="",H78="",I78="",J78="")),1,0)</f>
        <v>0</v>
      </c>
      <c r="Q78" s="5">
        <f>IF(AND(P80&gt;0,$Q$5=3,OR(K78="",L78="")),1,0)</f>
        <v>0</v>
      </c>
      <c r="R78" s="5">
        <f>MAX(P78:Q78)</f>
        <v>0</v>
      </c>
      <c r="T78" s="36">
        <f>R78</f>
        <v>0</v>
      </c>
    </row>
    <row r="79" spans="1:20" x14ac:dyDescent="0.25">
      <c r="A79" s="435"/>
      <c r="B79" s="435"/>
      <c r="C79" s="435"/>
      <c r="D79" s="435"/>
      <c r="F79" s="104" t="s">
        <v>1905</v>
      </c>
      <c r="G79" s="106">
        <f t="shared" ref="G79:L79" si="50">SUMIFS(G$11:G$36,$A$11:$A$36,"Verbundenes Unternehmen 5",$P$11:$P$36,0)</f>
        <v>0</v>
      </c>
      <c r="H79" s="106">
        <f t="shared" si="50"/>
        <v>0</v>
      </c>
      <c r="I79" s="106">
        <f t="shared" si="50"/>
        <v>0</v>
      </c>
      <c r="J79" s="106">
        <f t="shared" si="50"/>
        <v>0</v>
      </c>
      <c r="K79" s="182">
        <f t="shared" si="50"/>
        <v>0</v>
      </c>
      <c r="L79" s="106">
        <f t="shared" si="50"/>
        <v>0</v>
      </c>
      <c r="N79" s="349"/>
      <c r="O79" s="10"/>
    </row>
    <row r="80" spans="1:20" ht="15.75" thickBot="1" x14ac:dyDescent="0.3">
      <c r="A80" s="435"/>
      <c r="B80" s="435"/>
      <c r="C80" s="435"/>
      <c r="D80" s="435"/>
      <c r="F80" s="152" t="s">
        <v>1981</v>
      </c>
      <c r="G80" s="153">
        <f>SUM(G78:G79)</f>
        <v>0</v>
      </c>
      <c r="H80" s="153">
        <f t="shared" ref="H80" si="51">SUM(H78:H79)</f>
        <v>0</v>
      </c>
      <c r="I80" s="153">
        <f t="shared" ref="I80" si="52">SUM(I78:I79)</f>
        <v>0</v>
      </c>
      <c r="J80" s="153">
        <f t="shared" ref="J80" si="53">SUM(J78:J79)</f>
        <v>0</v>
      </c>
      <c r="K80" s="183">
        <f t="shared" ref="K80" si="54">SUM(K78:K79)</f>
        <v>0</v>
      </c>
      <c r="L80" s="153">
        <f t="shared" ref="L80" si="55">SUM(L78:L79)</f>
        <v>0</v>
      </c>
      <c r="N80" s="349"/>
      <c r="O80" s="10"/>
      <c r="P80" s="147">
        <f>IF(AND($Q$5&lt;&gt;4,SUM(G80:L80)&gt;0),SUM(G80:L80),0)</f>
        <v>0</v>
      </c>
    </row>
    <row r="81" spans="1:20" ht="15.75" thickTop="1" x14ac:dyDescent="0.25">
      <c r="A81" s="435"/>
      <c r="B81" s="435"/>
      <c r="C81" s="435"/>
      <c r="D81" s="435"/>
      <c r="F81" s="151" t="s">
        <v>1982</v>
      </c>
      <c r="G81" s="298" t="str">
        <f t="shared" ref="G81" si="56">IFERROR(ROUND(G79/G80,4),"")</f>
        <v/>
      </c>
      <c r="H81" s="298" t="str">
        <f t="shared" ref="H81" si="57">IFERROR(ROUND(H79/H80,4),"")</f>
        <v/>
      </c>
      <c r="I81" s="298" t="str">
        <f t="shared" ref="I81" si="58">IFERROR(ROUND(I79/I80,4),"")</f>
        <v/>
      </c>
      <c r="J81" s="298" t="str">
        <f t="shared" ref="J81" si="59">IFERROR(ROUND(J79/J80,4),"")</f>
        <v/>
      </c>
      <c r="K81" s="298" t="str">
        <f>IFERROR(ROUND(K79/K80,4),"")</f>
        <v/>
      </c>
      <c r="L81" s="298" t="str">
        <f>IFERROR(ROUND(L79/L80,4),"")</f>
        <v/>
      </c>
      <c r="N81" s="352" t="str">
        <f>IFERROR(IF(AND($Q$5=3,MAX(P81:Q81)=1),"Aufteilung unstimmig",""),"")</f>
        <v/>
      </c>
      <c r="O81" s="18"/>
      <c r="P81" s="5" t="e">
        <f>IF(((G81+I81)/2)&lt;&gt;K81,1,0)</f>
        <v>#VALUE!</v>
      </c>
      <c r="Q81" s="5" t="e">
        <f>IF(((H81+J81)/2)&lt;&gt;L81,1,0)</f>
        <v>#VALUE!</v>
      </c>
      <c r="R81" s="5">
        <f>IF(AND($Q$5=3,K78&lt;&gt;"",L78&lt;&gt;""),1,0)</f>
        <v>0</v>
      </c>
      <c r="T81" s="246"/>
    </row>
    <row r="82" spans="1:20" x14ac:dyDescent="0.25">
      <c r="T82" s="36">
        <f>MAX(T5:T81)</f>
        <v>1</v>
      </c>
    </row>
  </sheetData>
  <sheetProtection algorithmName="SHA-512" hashValue="Q7RrYLQPY7ct08Po5TqvzBF0ZK6p/hX6XTBSLaA/gX8SNrMIq3vvMGFYstMrDMvtYNU6xk1xhciWwM925BcQTg==" saltValue="9RPyT2EYKRylLFAK2Qgh6w==" spinCount="100000" sheet="1" selectLockedCells="1"/>
  <mergeCells count="30">
    <mergeCell ref="F5:G5"/>
    <mergeCell ref="A3:L3"/>
    <mergeCell ref="K8:L8"/>
    <mergeCell ref="A8:A9"/>
    <mergeCell ref="D8:D9"/>
    <mergeCell ref="F8:F9"/>
    <mergeCell ref="C8:C9"/>
    <mergeCell ref="I5:J5"/>
    <mergeCell ref="G7:J7"/>
    <mergeCell ref="A65:D69"/>
    <mergeCell ref="A71:D75"/>
    <mergeCell ref="A77:D81"/>
    <mergeCell ref="K44:L44"/>
    <mergeCell ref="E8:E9"/>
    <mergeCell ref="C35:F35"/>
    <mergeCell ref="C34:F34"/>
    <mergeCell ref="C33:F33"/>
    <mergeCell ref="C32:F32"/>
    <mergeCell ref="C31:F31"/>
    <mergeCell ref="C36:F36"/>
    <mergeCell ref="G44:H44"/>
    <mergeCell ref="I44:J44"/>
    <mergeCell ref="B8:B9"/>
    <mergeCell ref="G8:H8"/>
    <mergeCell ref="I8:J8"/>
    <mergeCell ref="F42:L42"/>
    <mergeCell ref="N8:N9"/>
    <mergeCell ref="A47:D51"/>
    <mergeCell ref="A53:D57"/>
    <mergeCell ref="A59:D63"/>
  </mergeCells>
  <conditionalFormatting sqref="I5:J5">
    <cfRule type="containsText" dxfId="98" priority="65" operator="containsText" text="Bitte Auswahl treffen">
      <formula>NOT(ISERROR(SEARCH("Bitte Auswahl treffen",I5)))</formula>
    </cfRule>
  </conditionalFormatting>
  <conditionalFormatting sqref="E11:E30">
    <cfRule type="containsText" dxfId="97" priority="63" operator="containsText" text="Nein">
      <formula>NOT(ISERROR(SEARCH("Nein",E11)))</formula>
    </cfRule>
    <cfRule type="containsText" dxfId="96" priority="64" operator="containsText" text="Ja">
      <formula>NOT(ISERROR(SEARCH("Ja",E11)))</formula>
    </cfRule>
  </conditionalFormatting>
  <conditionalFormatting sqref="N11:O376">
    <cfRule type="containsText" dxfId="95" priority="55" operator="containsText" text="Dateneingabe unvollständig">
      <formula>NOT(ISERROR(SEARCH("Dateneingabe unvollständig",N11)))</formula>
    </cfRule>
  </conditionalFormatting>
  <conditionalFormatting sqref="N48:O48">
    <cfRule type="containsText" dxfId="94" priority="53" operator="containsText" text="Dateneingabe unvollständig">
      <formula>NOT(ISERROR(SEARCH("Dateneingabe unvollständig",N48)))</formula>
    </cfRule>
  </conditionalFormatting>
  <conditionalFormatting sqref="N54:O54">
    <cfRule type="containsText" dxfId="93" priority="52" operator="containsText" text="Dateneingabe unvollständig">
      <formula>NOT(ISERROR(SEARCH("Dateneingabe unvollständig",N54)))</formula>
    </cfRule>
  </conditionalFormatting>
  <conditionalFormatting sqref="N60:O60">
    <cfRule type="containsText" dxfId="92" priority="51" operator="containsText" text="Dateneingabe unvollständig">
      <formula>NOT(ISERROR(SEARCH("Dateneingabe unvollständig",N60)))</formula>
    </cfRule>
  </conditionalFormatting>
  <conditionalFormatting sqref="N66:O66">
    <cfRule type="containsText" dxfId="91" priority="50" operator="containsText" text="Dateneingabe unvollständig">
      <formula>NOT(ISERROR(SEARCH("Dateneingabe unvollständig",N66)))</formula>
    </cfRule>
  </conditionalFormatting>
  <conditionalFormatting sqref="N72:O72">
    <cfRule type="containsText" dxfId="90" priority="49" operator="containsText" text="Dateneingabe unvollständig">
      <formula>NOT(ISERROR(SEARCH("Dateneingabe unvollständig",N72)))</formula>
    </cfRule>
  </conditionalFormatting>
  <conditionalFormatting sqref="N78:O78">
    <cfRule type="containsText" dxfId="89" priority="48" operator="containsText" text="Dateneingabe unvollständig">
      <formula>NOT(ISERROR(SEARCH("Dateneingabe unvollständig",N78)))</formula>
    </cfRule>
  </conditionalFormatting>
  <conditionalFormatting sqref="L11:L39 L47:L81">
    <cfRule type="expression" dxfId="88" priority="15">
      <formula>$Q$5&lt;&gt;3</formula>
    </cfRule>
  </conditionalFormatting>
  <conditionalFormatting sqref="K11:K39 K47:K81">
    <cfRule type="expression" dxfId="87" priority="14">
      <formula>$Q$5&lt;&gt;3</formula>
    </cfRule>
  </conditionalFormatting>
  <conditionalFormatting sqref="F53:L57">
    <cfRule type="expression" dxfId="86" priority="6">
      <formula>$P$56=0</formula>
    </cfRule>
  </conditionalFormatting>
  <conditionalFormatting sqref="F59:L63">
    <cfRule type="expression" dxfId="85" priority="5">
      <formula>$P$62=0</formula>
    </cfRule>
  </conditionalFormatting>
  <conditionalFormatting sqref="F65:L69">
    <cfRule type="expression" dxfId="84" priority="4">
      <formula>$P$68=0</formula>
    </cfRule>
  </conditionalFormatting>
  <conditionalFormatting sqref="F71:L75">
    <cfRule type="expression" dxfId="83" priority="3">
      <formula>$P$74=0</formula>
    </cfRule>
  </conditionalFormatting>
  <conditionalFormatting sqref="F77:L81">
    <cfRule type="expression" dxfId="82" priority="2">
      <formula>$P$80=0</formula>
    </cfRule>
  </conditionalFormatting>
  <conditionalFormatting sqref="F41:L51">
    <cfRule type="expression" dxfId="81" priority="1">
      <formula>$Q$5=4</formula>
    </cfRule>
  </conditionalFormatting>
  <pageMargins left="0.70866141732283472" right="0.70866141732283472" top="0.78740157480314965" bottom="0.78740157480314965" header="0.31496062992125984" footer="0.31496062992125984"/>
  <pageSetup paperSize="9" scale="44" fitToHeight="0" orientation="landscape" horizontalDpi="1200" verticalDpi="1200" r:id="rId1"/>
  <headerFooter>
    <oddHeader xml:space="preserve">&amp;L&amp;"-,Fett"&amp;14Berechnungshilfe "Sächsisches Härtefallprogramm Energie für Unternehmen (Modul 2022)"&amp;R&amp;G  </oddHeader>
  </headerFooter>
  <rowBreaks count="1" manualBreakCount="1">
    <brk id="40" max="12" man="1"/>
  </rowBreaks>
  <legacyDrawingHF r:id="rId2"/>
  <extLst>
    <ext xmlns:x14="http://schemas.microsoft.com/office/spreadsheetml/2009/9/main" uri="{78C0D931-6437-407d-A8EE-F0AAD7539E65}">
      <x14:conditionalFormattings>
        <x14:conditionalFormatting xmlns:xm="http://schemas.microsoft.com/office/excel/2006/main">
          <x14:cfRule type="containsText" priority="27" operator="containsText" id="{296D892E-8D1F-4CD5-9DAA-51AA05667D6D}">
            <xm:f>NOT(ISERROR(SEARCH($N$51,O57)))</xm:f>
            <xm:f>$N$51</xm:f>
            <x14:dxf>
              <font>
                <color rgb="FF9C0006"/>
              </font>
              <fill>
                <patternFill>
                  <bgColor rgb="FFFFC7CE"/>
                </patternFill>
              </fill>
            </x14:dxf>
          </x14:cfRule>
          <xm:sqref>O57</xm:sqref>
        </x14:conditionalFormatting>
        <x14:conditionalFormatting xmlns:xm="http://schemas.microsoft.com/office/excel/2006/main">
          <x14:cfRule type="containsText" priority="26" operator="containsText" id="{45340A09-F74D-45C9-9621-594B054C4637}">
            <xm:f>NOT(ISERROR(SEARCH($N$51,O63)))</xm:f>
            <xm:f>$N$51</xm:f>
            <x14:dxf>
              <font>
                <color rgb="FF9C0006"/>
              </font>
              <fill>
                <patternFill>
                  <bgColor rgb="FFFFC7CE"/>
                </patternFill>
              </fill>
            </x14:dxf>
          </x14:cfRule>
          <xm:sqref>O63</xm:sqref>
        </x14:conditionalFormatting>
        <x14:conditionalFormatting xmlns:xm="http://schemas.microsoft.com/office/excel/2006/main">
          <x14:cfRule type="containsText" priority="25" operator="containsText" id="{E0CCB004-4841-472F-AC05-1BCE66A13F36}">
            <xm:f>NOT(ISERROR(SEARCH($N$51,O69)))</xm:f>
            <xm:f>$N$51</xm:f>
            <x14:dxf>
              <font>
                <color rgb="FF9C0006"/>
              </font>
              <fill>
                <patternFill>
                  <bgColor rgb="FFFFC7CE"/>
                </patternFill>
              </fill>
            </x14:dxf>
          </x14:cfRule>
          <xm:sqref>O69</xm:sqref>
        </x14:conditionalFormatting>
        <x14:conditionalFormatting xmlns:xm="http://schemas.microsoft.com/office/excel/2006/main">
          <x14:cfRule type="containsText" priority="24" operator="containsText" id="{DEDCA2AC-9EDC-41F9-91A9-770BA8EBABBE}">
            <xm:f>NOT(ISERROR(SEARCH($N$51,O75)))</xm:f>
            <xm:f>$N$51</xm:f>
            <x14:dxf>
              <font>
                <color rgb="FF9C0006"/>
              </font>
              <fill>
                <patternFill>
                  <bgColor rgb="FFFFC7CE"/>
                </patternFill>
              </fill>
            </x14:dxf>
          </x14:cfRule>
          <xm:sqref>O75</xm:sqref>
        </x14:conditionalFormatting>
        <x14:conditionalFormatting xmlns:xm="http://schemas.microsoft.com/office/excel/2006/main">
          <x14:cfRule type="containsText" priority="23" operator="containsText" id="{6C218CEA-E263-47E9-A64A-F9A5F1AE74ED}">
            <xm:f>NOT(ISERROR(SEARCH($N$51,O81)))</xm:f>
            <xm:f>$N$51</xm:f>
            <x14:dxf>
              <font>
                <color rgb="FF9C0006"/>
              </font>
              <fill>
                <patternFill>
                  <bgColor rgb="FFFFC7CE"/>
                </patternFill>
              </fill>
            </x14:dxf>
          </x14:cfRule>
          <xm:sqref>O81</xm:sqref>
        </x14:conditionalFormatting>
        <x14:conditionalFormatting xmlns:xm="http://schemas.microsoft.com/office/excel/2006/main">
          <x14:cfRule type="containsText" priority="22" operator="containsText" id="{0203B7DD-969B-4E23-8AE6-404DAB852E12}">
            <xm:f>NOT(ISERROR(SEARCH($N$51,N51)))</xm:f>
            <xm:f>$N$51</xm:f>
            <x14:dxf>
              <font>
                <color rgb="FF9C0006"/>
              </font>
              <fill>
                <patternFill>
                  <bgColor rgb="FFFFC7CE"/>
                </patternFill>
              </fill>
            </x14:dxf>
          </x14:cfRule>
          <xm:sqref>N51:O51</xm:sqref>
        </x14:conditionalFormatting>
        <x14:conditionalFormatting xmlns:xm="http://schemas.microsoft.com/office/excel/2006/main">
          <x14:cfRule type="containsText" priority="16" operator="containsText" id="{9F622C1B-37E5-4292-8A6F-9EAE22C8A337}">
            <xm:f>NOT(ISERROR(SEARCH($N$51,N81)))</xm:f>
            <xm:f>$N$51</xm:f>
            <x14:dxf>
              <font>
                <color rgb="FF9C0006"/>
              </font>
              <fill>
                <patternFill>
                  <bgColor rgb="FFFFC7CE"/>
                </patternFill>
              </fill>
            </x14:dxf>
          </x14:cfRule>
          <xm:sqref>N81</xm:sqref>
        </x14:conditionalFormatting>
        <x14:conditionalFormatting xmlns:xm="http://schemas.microsoft.com/office/excel/2006/main">
          <x14:cfRule type="containsText" priority="20" operator="containsText" id="{5D3AE432-5251-4A6D-AD4F-F2FC35B6EF54}">
            <xm:f>NOT(ISERROR(SEARCH($N$51,N57)))</xm:f>
            <xm:f>$N$51</xm:f>
            <x14:dxf>
              <font>
                <color rgb="FF9C0006"/>
              </font>
              <fill>
                <patternFill>
                  <bgColor rgb="FFFFC7CE"/>
                </patternFill>
              </fill>
            </x14:dxf>
          </x14:cfRule>
          <xm:sqref>N57</xm:sqref>
        </x14:conditionalFormatting>
        <x14:conditionalFormatting xmlns:xm="http://schemas.microsoft.com/office/excel/2006/main">
          <x14:cfRule type="containsText" priority="19" operator="containsText" id="{88B7DC0D-D77A-4C5E-9C76-26976D953801}">
            <xm:f>NOT(ISERROR(SEARCH($N$51,N63)))</xm:f>
            <xm:f>$N$51</xm:f>
            <x14:dxf>
              <font>
                <color rgb="FF9C0006"/>
              </font>
              <fill>
                <patternFill>
                  <bgColor rgb="FFFFC7CE"/>
                </patternFill>
              </fill>
            </x14:dxf>
          </x14:cfRule>
          <xm:sqref>N63</xm:sqref>
        </x14:conditionalFormatting>
        <x14:conditionalFormatting xmlns:xm="http://schemas.microsoft.com/office/excel/2006/main">
          <x14:cfRule type="containsText" priority="18" operator="containsText" id="{0F7CD0A3-A6FA-4E67-B197-D83CCBAD712C}">
            <xm:f>NOT(ISERROR(SEARCH($N$51,N69)))</xm:f>
            <xm:f>$N$51</xm:f>
            <x14:dxf>
              <font>
                <color rgb="FF9C0006"/>
              </font>
              <fill>
                <patternFill>
                  <bgColor rgb="FFFFC7CE"/>
                </patternFill>
              </fill>
            </x14:dxf>
          </x14:cfRule>
          <xm:sqref>N69</xm:sqref>
        </x14:conditionalFormatting>
        <x14:conditionalFormatting xmlns:xm="http://schemas.microsoft.com/office/excel/2006/main">
          <x14:cfRule type="containsText" priority="17" operator="containsText" id="{754021D8-E710-4037-A3A5-FD57290537D8}">
            <xm:f>NOT(ISERROR(SEARCH($N$51,N75)))</xm:f>
            <xm:f>$N$51</xm:f>
            <x14:dxf>
              <font>
                <color rgb="FF9C0006"/>
              </font>
              <fill>
                <patternFill>
                  <bgColor rgb="FFFFC7CE"/>
                </patternFill>
              </fill>
            </x14:dxf>
          </x14:cfRule>
          <xm:sqref>N75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I_SV!$A$26:$A$33</xm:f>
          </x14:formula1>
          <xm:sqref>D11:D30</xm:sqref>
        </x14:dataValidation>
        <x14:dataValidation type="list" allowBlank="1" showInputMessage="1" showErrorMessage="1">
          <x14:formula1>
            <xm:f>I_SV!$A$37:$A$40</xm:f>
          </x14:formula1>
          <xm:sqref>F5:G5</xm:sqref>
        </x14:dataValidation>
        <x14:dataValidation type="list" allowBlank="1" showInputMessage="1" showErrorMessage="1">
          <x14:formula1>
            <xm:f>I_SV!$A$3:$A$4</xm:f>
          </x14:formula1>
          <xm:sqref>E11:E30</xm:sqref>
        </x14:dataValidation>
        <x14:dataValidation type="list" allowBlank="1" showInputMessage="1" showErrorMessage="1">
          <x14:formula1>
            <xm:f>I_SV!$A$17:$A$22</xm:f>
          </x14:formula1>
          <xm:sqref>A11:A30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tabColor rgb="FFFFFF00"/>
    <pageSetUpPr fitToPage="1"/>
  </sheetPr>
  <dimension ref="A1:Q456"/>
  <sheetViews>
    <sheetView showGridLines="0" zoomScale="115" zoomScaleNormal="115" workbookViewId="0">
      <selection activeCell="G294" sqref="G294"/>
    </sheetView>
  </sheetViews>
  <sheetFormatPr baseColWidth="10" defaultRowHeight="15" x14ac:dyDescent="0.25"/>
  <cols>
    <col min="1" max="1" width="2.85546875" style="2" customWidth="1"/>
    <col min="2" max="2" width="25.42578125" style="2" customWidth="1"/>
    <col min="3" max="4" width="12" style="2" customWidth="1"/>
    <col min="5" max="5" width="39.7109375" style="2" customWidth="1"/>
    <col min="6" max="6" width="25.5703125" style="2" customWidth="1"/>
    <col min="7" max="7" width="25.5703125" style="81" customWidth="1"/>
    <col min="8" max="8" width="2.85546875" style="2" customWidth="1"/>
    <col min="9" max="9" width="30.7109375" style="346" customWidth="1"/>
    <col min="10" max="10" width="3.7109375" style="2" customWidth="1"/>
    <col min="11" max="14" width="11.42578125" style="5" hidden="1" customWidth="1"/>
    <col min="15" max="16" width="0" style="36" hidden="1" customWidth="1"/>
    <col min="17" max="17" width="0" style="237" hidden="1" customWidth="1"/>
    <col min="18" max="16384" width="11.42578125" style="2"/>
  </cols>
  <sheetData>
    <row r="1" spans="1:13" ht="18.75" x14ac:dyDescent="0.25">
      <c r="A1" s="13" t="s">
        <v>2165</v>
      </c>
      <c r="C1" s="13"/>
      <c r="H1" s="80" t="str">
        <f>Stammdaten!AN1</f>
        <v>V. 1.0.2</v>
      </c>
    </row>
    <row r="2" spans="1:13" ht="15.75" thickBot="1" x14ac:dyDescent="0.3"/>
    <row r="3" spans="1:13" ht="15" customHeight="1" x14ac:dyDescent="0.25">
      <c r="B3" s="478" t="s">
        <v>2168</v>
      </c>
      <c r="C3" s="479"/>
      <c r="D3" s="479"/>
      <c r="E3" s="479"/>
      <c r="F3" s="479"/>
      <c r="G3" s="480"/>
    </row>
    <row r="4" spans="1:13" x14ac:dyDescent="0.25">
      <c r="B4" s="481"/>
      <c r="C4" s="482"/>
      <c r="D4" s="482"/>
      <c r="E4" s="482"/>
      <c r="F4" s="482"/>
      <c r="G4" s="483"/>
    </row>
    <row r="5" spans="1:13" x14ac:dyDescent="0.25">
      <c r="B5" s="481"/>
      <c r="C5" s="482"/>
      <c r="D5" s="482"/>
      <c r="E5" s="482"/>
      <c r="F5" s="482"/>
      <c r="G5" s="483"/>
    </row>
    <row r="6" spans="1:13" ht="31.5" customHeight="1" thickBot="1" x14ac:dyDescent="0.3">
      <c r="B6" s="484"/>
      <c r="C6" s="485"/>
      <c r="D6" s="485"/>
      <c r="E6" s="485"/>
      <c r="F6" s="485"/>
      <c r="G6" s="486"/>
      <c r="I6" s="367" t="s">
        <v>2018</v>
      </c>
    </row>
    <row r="8" spans="1:13" ht="15.75" x14ac:dyDescent="0.25">
      <c r="A8" s="12" t="s">
        <v>1944</v>
      </c>
      <c r="C8" s="11"/>
    </row>
    <row r="10" spans="1:13" ht="15" customHeight="1" x14ac:dyDescent="0.25">
      <c r="B10" s="452" t="s">
        <v>2241</v>
      </c>
      <c r="C10" s="470" t="s">
        <v>1912</v>
      </c>
      <c r="D10" s="472" t="s">
        <v>1911</v>
      </c>
      <c r="E10" s="470" t="s">
        <v>1943</v>
      </c>
      <c r="F10" s="472" t="s">
        <v>2181</v>
      </c>
      <c r="G10" s="476" t="s">
        <v>2182</v>
      </c>
    </row>
    <row r="11" spans="1:13" ht="30" customHeight="1" x14ac:dyDescent="0.25">
      <c r="B11" s="469"/>
      <c r="C11" s="471"/>
      <c r="D11" s="473"/>
      <c r="E11" s="471"/>
      <c r="F11" s="471"/>
      <c r="G11" s="477"/>
    </row>
    <row r="12" spans="1:13" x14ac:dyDescent="0.25">
      <c r="B12" s="166"/>
      <c r="C12" s="167">
        <v>2021</v>
      </c>
      <c r="D12" s="118"/>
      <c r="E12" s="119"/>
      <c r="F12" s="120"/>
      <c r="G12" s="121"/>
      <c r="I12" s="347" t="str">
        <f>IF(M12=1,"Dateneingabe unvollständig","")</f>
        <v/>
      </c>
      <c r="K12" s="5">
        <f>IF(AND(SUM(F12:G12)&lt;&gt;0,OR(B12="",D12="",E12="")),1,IF(AND(SUM(F12:G12)=0,OR(B12&lt;&gt;"",D12&lt;&gt;"",E12&lt;&gt;"")),1,0))</f>
        <v>0</v>
      </c>
      <c r="L12" s="5">
        <f>IF(OR(AND(F12&lt;&gt;0,G12=0),AND(G12&lt;&gt;0,F12=0)),1,0)</f>
        <v>0</v>
      </c>
      <c r="M12" s="5">
        <f>MAX(K12:L12)</f>
        <v>0</v>
      </c>
    </row>
    <row r="13" spans="1:13" x14ac:dyDescent="0.25">
      <c r="B13" s="166"/>
      <c r="C13" s="167">
        <v>2021</v>
      </c>
      <c r="D13" s="118"/>
      <c r="E13" s="119"/>
      <c r="F13" s="120"/>
      <c r="G13" s="121"/>
      <c r="I13" s="347" t="str">
        <f t="shared" ref="I13:I27" si="0">IF(M13=1,"Dateneingabe unvollständig","")</f>
        <v/>
      </c>
      <c r="K13" s="5">
        <f t="shared" ref="K13:K21" si="1">IF(AND(SUM(F13:G13)&lt;&gt;0,OR(B13="",D13="",E13="")),1,IF(AND(SUM(F13:G13)=0,OR(B13&lt;&gt;"",D13&lt;&gt;"",E13&lt;&gt;"")),1,0))</f>
        <v>0</v>
      </c>
      <c r="L13" s="5">
        <f t="shared" ref="L13:L27" si="2">IF(OR(AND(F13&lt;&gt;0,G13=0),AND(G13&lt;&gt;0,F13=0)),1,0)</f>
        <v>0</v>
      </c>
      <c r="M13" s="5">
        <f t="shared" ref="M13:M27" si="3">MAX(K13:L13)</f>
        <v>0</v>
      </c>
    </row>
    <row r="14" spans="1:13" x14ac:dyDescent="0.25">
      <c r="B14" s="166"/>
      <c r="C14" s="167">
        <v>2021</v>
      </c>
      <c r="D14" s="118"/>
      <c r="E14" s="119"/>
      <c r="F14" s="120"/>
      <c r="G14" s="121"/>
      <c r="I14" s="347" t="str">
        <f t="shared" si="0"/>
        <v/>
      </c>
      <c r="K14" s="5">
        <f t="shared" si="1"/>
        <v>0</v>
      </c>
      <c r="L14" s="5">
        <f t="shared" si="2"/>
        <v>0</v>
      </c>
      <c r="M14" s="5">
        <f t="shared" si="3"/>
        <v>0</v>
      </c>
    </row>
    <row r="15" spans="1:13" x14ac:dyDescent="0.25">
      <c r="B15" s="166"/>
      <c r="C15" s="167">
        <v>2021</v>
      </c>
      <c r="D15" s="118"/>
      <c r="E15" s="119"/>
      <c r="F15" s="120"/>
      <c r="G15" s="121"/>
      <c r="I15" s="347" t="str">
        <f t="shared" si="0"/>
        <v/>
      </c>
      <c r="K15" s="5">
        <f t="shared" si="1"/>
        <v>0</v>
      </c>
      <c r="L15" s="5">
        <f t="shared" si="2"/>
        <v>0</v>
      </c>
      <c r="M15" s="5">
        <f t="shared" si="3"/>
        <v>0</v>
      </c>
    </row>
    <row r="16" spans="1:13" x14ac:dyDescent="0.25">
      <c r="B16" s="166"/>
      <c r="C16" s="167">
        <v>2021</v>
      </c>
      <c r="D16" s="118"/>
      <c r="E16" s="119"/>
      <c r="F16" s="120"/>
      <c r="G16" s="121"/>
      <c r="I16" s="347" t="str">
        <f t="shared" si="0"/>
        <v/>
      </c>
      <c r="K16" s="5">
        <f t="shared" si="1"/>
        <v>0</v>
      </c>
      <c r="L16" s="5">
        <f t="shared" si="2"/>
        <v>0</v>
      </c>
      <c r="M16" s="5">
        <f t="shared" si="3"/>
        <v>0</v>
      </c>
    </row>
    <row r="17" spans="2:17" x14ac:dyDescent="0.25">
      <c r="B17" s="166"/>
      <c r="C17" s="167">
        <v>2021</v>
      </c>
      <c r="D17" s="118"/>
      <c r="E17" s="119"/>
      <c r="F17" s="120"/>
      <c r="G17" s="121"/>
      <c r="I17" s="347" t="str">
        <f t="shared" si="0"/>
        <v/>
      </c>
      <c r="K17" s="5">
        <f t="shared" si="1"/>
        <v>0</v>
      </c>
      <c r="L17" s="5">
        <f t="shared" si="2"/>
        <v>0</v>
      </c>
      <c r="M17" s="5">
        <f t="shared" si="3"/>
        <v>0</v>
      </c>
    </row>
    <row r="18" spans="2:17" x14ac:dyDescent="0.25">
      <c r="B18" s="166"/>
      <c r="C18" s="167">
        <v>2021</v>
      </c>
      <c r="D18" s="118"/>
      <c r="E18" s="119"/>
      <c r="F18" s="120"/>
      <c r="G18" s="121"/>
      <c r="I18" s="347" t="str">
        <f t="shared" si="0"/>
        <v/>
      </c>
      <c r="K18" s="5">
        <f t="shared" si="1"/>
        <v>0</v>
      </c>
      <c r="L18" s="5">
        <f t="shared" si="2"/>
        <v>0</v>
      </c>
      <c r="M18" s="5">
        <f t="shared" si="3"/>
        <v>0</v>
      </c>
    </row>
    <row r="19" spans="2:17" x14ac:dyDescent="0.25">
      <c r="B19" s="166"/>
      <c r="C19" s="167">
        <v>2021</v>
      </c>
      <c r="D19" s="118"/>
      <c r="E19" s="119"/>
      <c r="F19" s="120"/>
      <c r="G19" s="121"/>
      <c r="I19" s="347" t="str">
        <f t="shared" si="0"/>
        <v/>
      </c>
      <c r="K19" s="5">
        <f t="shared" si="1"/>
        <v>0</v>
      </c>
      <c r="L19" s="5">
        <f t="shared" si="2"/>
        <v>0</v>
      </c>
      <c r="M19" s="5">
        <f t="shared" si="3"/>
        <v>0</v>
      </c>
    </row>
    <row r="20" spans="2:17" x14ac:dyDescent="0.25">
      <c r="B20" s="166"/>
      <c r="C20" s="167">
        <v>2021</v>
      </c>
      <c r="D20" s="118"/>
      <c r="E20" s="119"/>
      <c r="F20" s="120"/>
      <c r="G20" s="121"/>
      <c r="I20" s="347" t="str">
        <f t="shared" si="0"/>
        <v/>
      </c>
      <c r="K20" s="5">
        <f t="shared" si="1"/>
        <v>0</v>
      </c>
      <c r="L20" s="5">
        <f t="shared" si="2"/>
        <v>0</v>
      </c>
      <c r="M20" s="5">
        <f t="shared" si="3"/>
        <v>0</v>
      </c>
    </row>
    <row r="21" spans="2:17" x14ac:dyDescent="0.25">
      <c r="B21" s="166"/>
      <c r="C21" s="167">
        <v>2021</v>
      </c>
      <c r="D21" s="118"/>
      <c r="E21" s="119"/>
      <c r="F21" s="120"/>
      <c r="G21" s="121"/>
      <c r="I21" s="347" t="str">
        <f t="shared" si="0"/>
        <v/>
      </c>
      <c r="K21" s="5">
        <f t="shared" si="1"/>
        <v>0</v>
      </c>
      <c r="L21" s="5">
        <f t="shared" si="2"/>
        <v>0</v>
      </c>
      <c r="M21" s="5">
        <f t="shared" si="3"/>
        <v>0</v>
      </c>
    </row>
    <row r="22" spans="2:17" ht="15" customHeight="1" x14ac:dyDescent="0.25">
      <c r="B22" s="168" t="s">
        <v>1974</v>
      </c>
      <c r="C22" s="167">
        <v>2021</v>
      </c>
      <c r="D22" s="459" t="s">
        <v>2020</v>
      </c>
      <c r="E22" s="460"/>
      <c r="F22" s="120"/>
      <c r="G22" s="121"/>
      <c r="I22" s="347" t="str">
        <f t="shared" si="0"/>
        <v/>
      </c>
      <c r="L22" s="5">
        <f t="shared" si="2"/>
        <v>0</v>
      </c>
      <c r="M22" s="5">
        <f t="shared" si="3"/>
        <v>0</v>
      </c>
    </row>
    <row r="23" spans="2:17" x14ac:dyDescent="0.25">
      <c r="B23" s="168" t="s">
        <v>1955</v>
      </c>
      <c r="C23" s="167">
        <v>2021</v>
      </c>
      <c r="D23" s="461"/>
      <c r="E23" s="462"/>
      <c r="F23" s="120"/>
      <c r="G23" s="121"/>
      <c r="I23" s="347" t="str">
        <f t="shared" si="0"/>
        <v/>
      </c>
      <c r="L23" s="5">
        <f t="shared" si="2"/>
        <v>0</v>
      </c>
      <c r="M23" s="5">
        <f t="shared" si="3"/>
        <v>0</v>
      </c>
    </row>
    <row r="24" spans="2:17" x14ac:dyDescent="0.25">
      <c r="B24" s="168" t="s">
        <v>1956</v>
      </c>
      <c r="C24" s="167">
        <v>2021</v>
      </c>
      <c r="D24" s="461"/>
      <c r="E24" s="462"/>
      <c r="F24" s="120"/>
      <c r="G24" s="121"/>
      <c r="I24" s="347" t="str">
        <f t="shared" si="0"/>
        <v/>
      </c>
      <c r="L24" s="5">
        <f t="shared" si="2"/>
        <v>0</v>
      </c>
      <c r="M24" s="5">
        <f t="shared" si="3"/>
        <v>0</v>
      </c>
    </row>
    <row r="25" spans="2:17" x14ac:dyDescent="0.25">
      <c r="B25" s="168" t="s">
        <v>1957</v>
      </c>
      <c r="C25" s="167">
        <v>2021</v>
      </c>
      <c r="D25" s="461"/>
      <c r="E25" s="462"/>
      <c r="F25" s="120"/>
      <c r="G25" s="121"/>
      <c r="I25" s="347" t="str">
        <f t="shared" si="0"/>
        <v/>
      </c>
      <c r="L25" s="5">
        <f t="shared" si="2"/>
        <v>0</v>
      </c>
      <c r="M25" s="5">
        <f t="shared" si="3"/>
        <v>0</v>
      </c>
    </row>
    <row r="26" spans="2:17" x14ac:dyDescent="0.25">
      <c r="B26" s="168" t="s">
        <v>1958</v>
      </c>
      <c r="C26" s="167">
        <v>2021</v>
      </c>
      <c r="D26" s="461"/>
      <c r="E26" s="462"/>
      <c r="F26" s="120"/>
      <c r="G26" s="121"/>
      <c r="I26" s="347" t="str">
        <f t="shared" si="0"/>
        <v/>
      </c>
      <c r="L26" s="5">
        <f t="shared" si="2"/>
        <v>0</v>
      </c>
      <c r="M26" s="5">
        <f t="shared" si="3"/>
        <v>0</v>
      </c>
    </row>
    <row r="27" spans="2:17" ht="15.75" thickBot="1" x14ac:dyDescent="0.3">
      <c r="B27" s="168" t="s">
        <v>1959</v>
      </c>
      <c r="C27" s="167">
        <v>2021</v>
      </c>
      <c r="D27" s="463"/>
      <c r="E27" s="464"/>
      <c r="F27" s="169"/>
      <c r="G27" s="121"/>
      <c r="I27" s="347" t="str">
        <f t="shared" si="0"/>
        <v/>
      </c>
      <c r="L27" s="5">
        <f t="shared" si="2"/>
        <v>0</v>
      </c>
      <c r="M27" s="5">
        <f t="shared" si="3"/>
        <v>0</v>
      </c>
    </row>
    <row r="28" spans="2:17" ht="14.25" customHeight="1" thickTop="1" x14ac:dyDescent="0.25">
      <c r="E28" s="2" t="s">
        <v>1917</v>
      </c>
      <c r="F28" s="177" t="str">
        <f>IF(OR(M28=1,SUM(F12:F27)=0),"Dateneingabe fehlt",SUM(F12:F27))</f>
        <v>Dateneingabe fehlt</v>
      </c>
      <c r="G28" s="122" t="str">
        <f>IF(OR(M28=1,SUM(G12:G27)=0),"Dateneingabe fehlt",SUM(G12:G27))</f>
        <v>Dateneingabe fehlt</v>
      </c>
      <c r="H28" s="176">
        <v>1</v>
      </c>
      <c r="I28" s="346" t="str">
        <f>IF(P28=1,"Bitte Dateneingabe vornehmen","")</f>
        <v/>
      </c>
      <c r="K28" s="178"/>
      <c r="L28" s="178"/>
      <c r="M28" s="178">
        <f>MAX(M12:M27)</f>
        <v>0</v>
      </c>
      <c r="O28" s="36">
        <f>M28</f>
        <v>0</v>
      </c>
      <c r="P28" s="36">
        <f>IF(AND(SUM(F28:G28)=0,SUM(F61:G62)&gt;0),1,0)</f>
        <v>0</v>
      </c>
      <c r="Q28" s="238" t="str">
        <f>F28</f>
        <v>Dateneingabe fehlt</v>
      </c>
    </row>
    <row r="29" spans="2:17" ht="26.25" customHeight="1" thickBot="1" x14ac:dyDescent="0.3">
      <c r="F29" s="227" t="s">
        <v>2019</v>
      </c>
      <c r="G29" s="82"/>
    </row>
    <row r="30" spans="2:17" ht="6.95" customHeight="1" thickTop="1" x14ac:dyDescent="0.25">
      <c r="F30" s="175"/>
      <c r="G30" s="82"/>
    </row>
    <row r="31" spans="2:17" x14ac:dyDescent="0.25">
      <c r="E31" s="11" t="s">
        <v>2180</v>
      </c>
      <c r="G31" s="82"/>
    </row>
    <row r="32" spans="2:17" x14ac:dyDescent="0.25">
      <c r="E32" s="468" t="s">
        <v>1915</v>
      </c>
      <c r="F32" s="468"/>
      <c r="G32" s="141"/>
      <c r="I32" s="404" t="s">
        <v>1985</v>
      </c>
    </row>
    <row r="33" spans="2:13" x14ac:dyDescent="0.25">
      <c r="E33" s="468" t="s">
        <v>1916</v>
      </c>
      <c r="F33" s="468"/>
      <c r="G33" s="141"/>
      <c r="I33" s="404"/>
    </row>
    <row r="34" spans="2:13" x14ac:dyDescent="0.25">
      <c r="E34" s="468" t="s">
        <v>2260</v>
      </c>
      <c r="F34" s="468"/>
      <c r="G34" s="141"/>
      <c r="I34" s="404"/>
    </row>
    <row r="35" spans="2:13" x14ac:dyDescent="0.25">
      <c r="E35" s="59" t="s">
        <v>1918</v>
      </c>
      <c r="F35" s="59"/>
      <c r="G35" s="221">
        <f>SUM(G32:G34)</f>
        <v>0</v>
      </c>
      <c r="H35" s="176">
        <v>2</v>
      </c>
    </row>
    <row r="36" spans="2:13" ht="6.95" customHeight="1" x14ac:dyDescent="0.25">
      <c r="G36" s="222"/>
    </row>
    <row r="37" spans="2:13" x14ac:dyDescent="0.25">
      <c r="E37" s="60"/>
      <c r="G37" s="223" t="str">
        <f>IFERROR(G28-G35,"Dateneingabe fehlt")</f>
        <v>Dateneingabe fehlt</v>
      </c>
    </row>
    <row r="38" spans="2:13" ht="15.75" thickBot="1" x14ac:dyDescent="0.3">
      <c r="E38" s="60"/>
      <c r="G38" s="83"/>
    </row>
    <row r="39" spans="2:13" ht="15.75" thickTop="1" x14ac:dyDescent="0.25">
      <c r="E39" s="224" t="s">
        <v>2063</v>
      </c>
      <c r="F39" s="225" t="str">
        <f>IFERROR(G37/F28,"Dateneingabe fehlt")</f>
        <v>Dateneingabe fehlt</v>
      </c>
      <c r="G39" s="226" t="s">
        <v>1914</v>
      </c>
    </row>
    <row r="40" spans="2:13" ht="15.75" thickBot="1" x14ac:dyDescent="0.3">
      <c r="E40" s="465" t="s">
        <v>2019</v>
      </c>
      <c r="F40" s="466"/>
      <c r="G40" s="467"/>
    </row>
    <row r="41" spans="2:13" ht="15.75" thickTop="1" x14ac:dyDescent="0.25">
      <c r="B41" s="14"/>
      <c r="C41" s="14"/>
      <c r="D41" s="14"/>
      <c r="E41" s="14"/>
      <c r="F41" s="14"/>
      <c r="G41" s="236"/>
      <c r="H41" s="14"/>
    </row>
    <row r="43" spans="2:13" ht="15" customHeight="1" x14ac:dyDescent="0.25">
      <c r="B43" s="452" t="s">
        <v>2241</v>
      </c>
      <c r="C43" s="470" t="s">
        <v>1912</v>
      </c>
      <c r="D43" s="472" t="s">
        <v>1911</v>
      </c>
      <c r="E43" s="470" t="s">
        <v>1943</v>
      </c>
      <c r="F43" s="472" t="s">
        <v>2181</v>
      </c>
      <c r="G43" s="476" t="s">
        <v>2182</v>
      </c>
    </row>
    <row r="44" spans="2:13" ht="30" customHeight="1" x14ac:dyDescent="0.25">
      <c r="B44" s="469"/>
      <c r="C44" s="471"/>
      <c r="D44" s="473"/>
      <c r="E44" s="471"/>
      <c r="F44" s="471"/>
      <c r="G44" s="477"/>
    </row>
    <row r="45" spans="2:13" x14ac:dyDescent="0.25">
      <c r="B45" s="166"/>
      <c r="C45" s="167">
        <v>2022</v>
      </c>
      <c r="D45" s="118"/>
      <c r="E45" s="119"/>
      <c r="F45" s="120"/>
      <c r="G45" s="121"/>
      <c r="I45" s="347" t="str">
        <f>IF(M45=1,"Dateneingabe unvollständig","")</f>
        <v/>
      </c>
      <c r="K45" s="5">
        <f>IF(AND(SUM(F45:G45)&lt;&gt;0,OR(B45="",D45="",E45="")),1,IF(AND(SUM(F45:G45)=0,OR(B45&lt;&gt;"",D45&lt;&gt;"",E45&lt;&gt;"")),1,0))</f>
        <v>0</v>
      </c>
      <c r="L45" s="5">
        <f>IF(OR(AND(F45&lt;&gt;0,G45=0),AND(G45&lt;&gt;0,F45=0)),1,0)</f>
        <v>0</v>
      </c>
      <c r="M45" s="5">
        <f>MAX(K45:L45)</f>
        <v>0</v>
      </c>
    </row>
    <row r="46" spans="2:13" x14ac:dyDescent="0.25">
      <c r="B46" s="166"/>
      <c r="C46" s="167">
        <v>2022</v>
      </c>
      <c r="D46" s="118"/>
      <c r="E46" s="119"/>
      <c r="F46" s="120"/>
      <c r="G46" s="121"/>
      <c r="I46" s="347" t="str">
        <f t="shared" ref="I46:I60" si="4">IF(M46=1,"Dateneingabe unvollständig","")</f>
        <v/>
      </c>
      <c r="K46" s="5">
        <f t="shared" ref="K46:K54" si="5">IF(AND(SUM(F46:G46)&lt;&gt;0,OR(B46="",D46="",E46="")),1,IF(AND(SUM(F46:G46)=0,OR(B46&lt;&gt;"",D46&lt;&gt;"",E46&lt;&gt;"")),1,0))</f>
        <v>0</v>
      </c>
      <c r="L46" s="5">
        <f t="shared" ref="L46:L60" si="6">IF(OR(AND(F46&lt;&gt;0,G46=0),AND(G46&lt;&gt;0,F46=0)),1,0)</f>
        <v>0</v>
      </c>
      <c r="M46" s="5">
        <f t="shared" ref="M46:M60" si="7">MAX(K46:L46)</f>
        <v>0</v>
      </c>
    </row>
    <row r="47" spans="2:13" x14ac:dyDescent="0.25">
      <c r="B47" s="166"/>
      <c r="C47" s="167">
        <v>2022</v>
      </c>
      <c r="D47" s="118"/>
      <c r="E47" s="119"/>
      <c r="F47" s="120"/>
      <c r="G47" s="121"/>
      <c r="I47" s="347" t="str">
        <f t="shared" si="4"/>
        <v/>
      </c>
      <c r="K47" s="5">
        <f t="shared" si="5"/>
        <v>0</v>
      </c>
      <c r="L47" s="5">
        <f t="shared" si="6"/>
        <v>0</v>
      </c>
      <c r="M47" s="5">
        <f t="shared" si="7"/>
        <v>0</v>
      </c>
    </row>
    <row r="48" spans="2:13" x14ac:dyDescent="0.25">
      <c r="B48" s="166"/>
      <c r="C48" s="167">
        <v>2022</v>
      </c>
      <c r="D48" s="118"/>
      <c r="E48" s="119"/>
      <c r="F48" s="120"/>
      <c r="G48" s="121"/>
      <c r="I48" s="347" t="str">
        <f t="shared" si="4"/>
        <v/>
      </c>
      <c r="K48" s="5">
        <f t="shared" si="5"/>
        <v>0</v>
      </c>
      <c r="L48" s="5">
        <f t="shared" si="6"/>
        <v>0</v>
      </c>
      <c r="M48" s="5">
        <f t="shared" si="7"/>
        <v>0</v>
      </c>
    </row>
    <row r="49" spans="2:17" x14ac:dyDescent="0.25">
      <c r="B49" s="166"/>
      <c r="C49" s="167">
        <v>2022</v>
      </c>
      <c r="D49" s="118"/>
      <c r="E49" s="119"/>
      <c r="F49" s="120"/>
      <c r="G49" s="121"/>
      <c r="I49" s="347" t="str">
        <f t="shared" si="4"/>
        <v/>
      </c>
      <c r="K49" s="5">
        <f t="shared" si="5"/>
        <v>0</v>
      </c>
      <c r="L49" s="5">
        <f t="shared" si="6"/>
        <v>0</v>
      </c>
      <c r="M49" s="5">
        <f t="shared" si="7"/>
        <v>0</v>
      </c>
    </row>
    <row r="50" spans="2:17" x14ac:dyDescent="0.25">
      <c r="B50" s="166"/>
      <c r="C50" s="167">
        <v>2022</v>
      </c>
      <c r="D50" s="118"/>
      <c r="E50" s="119"/>
      <c r="F50" s="120"/>
      <c r="G50" s="121"/>
      <c r="I50" s="347" t="str">
        <f t="shared" si="4"/>
        <v/>
      </c>
      <c r="K50" s="5">
        <f t="shared" si="5"/>
        <v>0</v>
      </c>
      <c r="L50" s="5">
        <f t="shared" si="6"/>
        <v>0</v>
      </c>
      <c r="M50" s="5">
        <f t="shared" si="7"/>
        <v>0</v>
      </c>
    </row>
    <row r="51" spans="2:17" x14ac:dyDescent="0.25">
      <c r="B51" s="166"/>
      <c r="C51" s="167">
        <v>2022</v>
      </c>
      <c r="D51" s="118"/>
      <c r="E51" s="119"/>
      <c r="F51" s="120"/>
      <c r="G51" s="121"/>
      <c r="I51" s="347" t="str">
        <f t="shared" si="4"/>
        <v/>
      </c>
      <c r="K51" s="5">
        <f t="shared" si="5"/>
        <v>0</v>
      </c>
      <c r="L51" s="5">
        <f t="shared" si="6"/>
        <v>0</v>
      </c>
      <c r="M51" s="5">
        <f t="shared" si="7"/>
        <v>0</v>
      </c>
    </row>
    <row r="52" spans="2:17" x14ac:dyDescent="0.25">
      <c r="B52" s="166"/>
      <c r="C52" s="167">
        <v>2022</v>
      </c>
      <c r="D52" s="118"/>
      <c r="E52" s="119"/>
      <c r="F52" s="120"/>
      <c r="G52" s="121"/>
      <c r="I52" s="347" t="str">
        <f t="shared" si="4"/>
        <v/>
      </c>
      <c r="K52" s="5">
        <f t="shared" si="5"/>
        <v>0</v>
      </c>
      <c r="L52" s="5">
        <f t="shared" si="6"/>
        <v>0</v>
      </c>
      <c r="M52" s="5">
        <f t="shared" si="7"/>
        <v>0</v>
      </c>
    </row>
    <row r="53" spans="2:17" x14ac:dyDescent="0.25">
      <c r="B53" s="166"/>
      <c r="C53" s="167">
        <v>2022</v>
      </c>
      <c r="D53" s="118"/>
      <c r="E53" s="119"/>
      <c r="F53" s="120"/>
      <c r="G53" s="121"/>
      <c r="I53" s="347" t="str">
        <f t="shared" si="4"/>
        <v/>
      </c>
      <c r="K53" s="5">
        <f t="shared" si="5"/>
        <v>0</v>
      </c>
      <c r="L53" s="5">
        <f t="shared" si="6"/>
        <v>0</v>
      </c>
      <c r="M53" s="5">
        <f t="shared" si="7"/>
        <v>0</v>
      </c>
    </row>
    <row r="54" spans="2:17" x14ac:dyDescent="0.25">
      <c r="B54" s="166"/>
      <c r="C54" s="167">
        <v>2022</v>
      </c>
      <c r="D54" s="118"/>
      <c r="E54" s="119"/>
      <c r="F54" s="120"/>
      <c r="G54" s="121"/>
      <c r="I54" s="347" t="str">
        <f t="shared" si="4"/>
        <v/>
      </c>
      <c r="K54" s="5">
        <f t="shared" si="5"/>
        <v>0</v>
      </c>
      <c r="L54" s="5">
        <f t="shared" si="6"/>
        <v>0</v>
      </c>
      <c r="M54" s="5">
        <f t="shared" si="7"/>
        <v>0</v>
      </c>
    </row>
    <row r="55" spans="2:17" ht="15" customHeight="1" x14ac:dyDescent="0.25">
      <c r="B55" s="168" t="s">
        <v>1974</v>
      </c>
      <c r="C55" s="167">
        <v>2022</v>
      </c>
      <c r="D55" s="459" t="s">
        <v>2020</v>
      </c>
      <c r="E55" s="460"/>
      <c r="F55" s="120"/>
      <c r="G55" s="121"/>
      <c r="I55" s="347" t="str">
        <f t="shared" si="4"/>
        <v/>
      </c>
      <c r="L55" s="5">
        <f t="shared" si="6"/>
        <v>0</v>
      </c>
      <c r="M55" s="5">
        <f t="shared" si="7"/>
        <v>0</v>
      </c>
    </row>
    <row r="56" spans="2:17" x14ac:dyDescent="0.25">
      <c r="B56" s="168" t="s">
        <v>1955</v>
      </c>
      <c r="C56" s="167">
        <v>2022</v>
      </c>
      <c r="D56" s="461"/>
      <c r="E56" s="462"/>
      <c r="F56" s="120"/>
      <c r="G56" s="121"/>
      <c r="I56" s="347" t="str">
        <f t="shared" si="4"/>
        <v/>
      </c>
      <c r="L56" s="5">
        <f t="shared" si="6"/>
        <v>0</v>
      </c>
      <c r="M56" s="5">
        <f t="shared" si="7"/>
        <v>0</v>
      </c>
    </row>
    <row r="57" spans="2:17" x14ac:dyDescent="0.25">
      <c r="B57" s="168" t="s">
        <v>1956</v>
      </c>
      <c r="C57" s="167">
        <v>2022</v>
      </c>
      <c r="D57" s="461"/>
      <c r="E57" s="462"/>
      <c r="F57" s="120"/>
      <c r="G57" s="121"/>
      <c r="I57" s="347" t="str">
        <f t="shared" si="4"/>
        <v/>
      </c>
      <c r="L57" s="5">
        <f t="shared" si="6"/>
        <v>0</v>
      </c>
      <c r="M57" s="5">
        <f t="shared" si="7"/>
        <v>0</v>
      </c>
    </row>
    <row r="58" spans="2:17" x14ac:dyDescent="0.25">
      <c r="B58" s="168" t="s">
        <v>1957</v>
      </c>
      <c r="C58" s="167">
        <v>2022</v>
      </c>
      <c r="D58" s="461"/>
      <c r="E58" s="462"/>
      <c r="F58" s="120"/>
      <c r="G58" s="121"/>
      <c r="I58" s="347" t="str">
        <f t="shared" si="4"/>
        <v/>
      </c>
      <c r="L58" s="5">
        <f t="shared" si="6"/>
        <v>0</v>
      </c>
      <c r="M58" s="5">
        <f t="shared" si="7"/>
        <v>0</v>
      </c>
    </row>
    <row r="59" spans="2:17" x14ac:dyDescent="0.25">
      <c r="B59" s="168" t="s">
        <v>1958</v>
      </c>
      <c r="C59" s="167">
        <v>2022</v>
      </c>
      <c r="D59" s="461"/>
      <c r="E59" s="462"/>
      <c r="F59" s="120"/>
      <c r="G59" s="121"/>
      <c r="I59" s="347" t="str">
        <f t="shared" si="4"/>
        <v/>
      </c>
      <c r="L59" s="5">
        <f t="shared" si="6"/>
        <v>0</v>
      </c>
      <c r="M59" s="5">
        <f t="shared" si="7"/>
        <v>0</v>
      </c>
    </row>
    <row r="60" spans="2:17" ht="15.75" thickBot="1" x14ac:dyDescent="0.3">
      <c r="B60" s="168" t="s">
        <v>1959</v>
      </c>
      <c r="C60" s="167">
        <v>2022</v>
      </c>
      <c r="D60" s="463"/>
      <c r="E60" s="464"/>
      <c r="F60" s="169"/>
      <c r="G60" s="121"/>
      <c r="I60" s="347" t="str">
        <f t="shared" si="4"/>
        <v/>
      </c>
      <c r="L60" s="5">
        <f t="shared" si="6"/>
        <v>0</v>
      </c>
      <c r="M60" s="5">
        <f t="shared" si="7"/>
        <v>0</v>
      </c>
    </row>
    <row r="61" spans="2:17" ht="15.75" thickTop="1" x14ac:dyDescent="0.25">
      <c r="E61" s="2" t="s">
        <v>1917</v>
      </c>
      <c r="F61" s="177" t="str">
        <f>IF(OR(M61=1,SUM(F45:F60)=0),"Dateneingabe fehlt",SUM(F45:F60))</f>
        <v>Dateneingabe fehlt</v>
      </c>
      <c r="G61" s="122" t="str">
        <f>IF(OR(M61=1,SUM(G45:G60)=0),"Dateneingabe fehlt",SUM(G45:G60))</f>
        <v>Dateneingabe fehlt</v>
      </c>
      <c r="H61" s="176">
        <v>1</v>
      </c>
      <c r="I61" s="346" t="str">
        <f>IF(P61=1,"Bitte Dateneingabe vornehmen","")</f>
        <v/>
      </c>
      <c r="K61" s="178"/>
      <c r="L61" s="178"/>
      <c r="M61" s="178">
        <f>MAX(M45:M60)</f>
        <v>0</v>
      </c>
      <c r="O61" s="36">
        <f>M61</f>
        <v>0</v>
      </c>
      <c r="P61" s="36">
        <f>IF(AND(SUM(F61:G62)=0,SUM(F28:G28)&gt;0),1,0)</f>
        <v>0</v>
      </c>
      <c r="Q61" s="238" t="str">
        <f>F61</f>
        <v>Dateneingabe fehlt</v>
      </c>
    </row>
    <row r="62" spans="2:17" ht="24.75" thickBot="1" x14ac:dyDescent="0.3">
      <c r="F62" s="227" t="s">
        <v>2019</v>
      </c>
      <c r="G62" s="82"/>
    </row>
    <row r="63" spans="2:17" ht="6.95" customHeight="1" thickTop="1" x14ac:dyDescent="0.25">
      <c r="F63" s="175"/>
      <c r="G63" s="82"/>
    </row>
    <row r="64" spans="2:17" x14ac:dyDescent="0.25">
      <c r="E64" s="11" t="s">
        <v>2180</v>
      </c>
      <c r="G64" s="82"/>
    </row>
    <row r="65" spans="1:13" x14ac:dyDescent="0.25">
      <c r="E65" s="468" t="s">
        <v>1915</v>
      </c>
      <c r="F65" s="468"/>
      <c r="G65" s="141"/>
      <c r="I65" s="404" t="s">
        <v>1985</v>
      </c>
    </row>
    <row r="66" spans="1:13" x14ac:dyDescent="0.25">
      <c r="E66" s="468" t="s">
        <v>1916</v>
      </c>
      <c r="F66" s="468"/>
      <c r="G66" s="141"/>
      <c r="I66" s="404"/>
    </row>
    <row r="67" spans="1:13" x14ac:dyDescent="0.25">
      <c r="E67" s="468" t="s">
        <v>2260</v>
      </c>
      <c r="F67" s="468"/>
      <c r="G67" s="141"/>
      <c r="I67" s="404"/>
    </row>
    <row r="68" spans="1:13" x14ac:dyDescent="0.25">
      <c r="E68" s="59" t="s">
        <v>1918</v>
      </c>
      <c r="F68" s="59"/>
      <c r="G68" s="221">
        <f>SUM(G65:G67)</f>
        <v>0</v>
      </c>
      <c r="H68" s="176">
        <v>2</v>
      </c>
    </row>
    <row r="69" spans="1:13" ht="6.95" customHeight="1" x14ac:dyDescent="0.25">
      <c r="G69" s="222"/>
    </row>
    <row r="70" spans="1:13" x14ac:dyDescent="0.25">
      <c r="E70" s="60"/>
      <c r="G70" s="223" t="str">
        <f>IFERROR(G61-G68,"Dateneingabe fehlt")</f>
        <v>Dateneingabe fehlt</v>
      </c>
    </row>
    <row r="71" spans="1:13" ht="15.75" thickBot="1" x14ac:dyDescent="0.3">
      <c r="E71" s="60"/>
      <c r="G71" s="83"/>
    </row>
    <row r="72" spans="1:13" ht="15.75" thickTop="1" x14ac:dyDescent="0.25">
      <c r="E72" s="224" t="s">
        <v>2064</v>
      </c>
      <c r="F72" s="225" t="str">
        <f>IFERROR(G70/F61,"Dateneingabe fehlt")</f>
        <v>Dateneingabe fehlt</v>
      </c>
      <c r="G72" s="226" t="s">
        <v>1914</v>
      </c>
    </row>
    <row r="73" spans="1:13" ht="15.75" thickBot="1" x14ac:dyDescent="0.3">
      <c r="E73" s="465" t="s">
        <v>2019</v>
      </c>
      <c r="F73" s="466"/>
      <c r="G73" s="467"/>
    </row>
    <row r="74" spans="1:13" ht="16.5" thickTop="1" thickBot="1" x14ac:dyDescent="0.3">
      <c r="A74" s="61"/>
      <c r="B74" s="61"/>
      <c r="C74" s="61"/>
      <c r="D74" s="61"/>
      <c r="E74" s="61"/>
      <c r="F74" s="61"/>
      <c r="G74" s="84"/>
      <c r="H74" s="61"/>
    </row>
    <row r="76" spans="1:13" ht="15.75" x14ac:dyDescent="0.25">
      <c r="A76" s="12" t="s">
        <v>1906</v>
      </c>
      <c r="C76" s="11"/>
    </row>
    <row r="78" spans="1:13" ht="15" customHeight="1" x14ac:dyDescent="0.25">
      <c r="B78" s="452" t="s">
        <v>2241</v>
      </c>
      <c r="C78" s="470" t="s">
        <v>1912</v>
      </c>
      <c r="D78" s="472" t="s">
        <v>1911</v>
      </c>
      <c r="E78" s="470" t="s">
        <v>1943</v>
      </c>
      <c r="F78" s="472" t="s">
        <v>2181</v>
      </c>
      <c r="G78" s="476" t="s">
        <v>2182</v>
      </c>
    </row>
    <row r="79" spans="1:13" ht="30" customHeight="1" x14ac:dyDescent="0.25">
      <c r="B79" s="469"/>
      <c r="C79" s="471"/>
      <c r="D79" s="473"/>
      <c r="E79" s="471"/>
      <c r="F79" s="471"/>
      <c r="G79" s="477"/>
    </row>
    <row r="80" spans="1:13" x14ac:dyDescent="0.25">
      <c r="B80" s="166"/>
      <c r="C80" s="167">
        <v>2021</v>
      </c>
      <c r="D80" s="118"/>
      <c r="E80" s="119"/>
      <c r="F80" s="120"/>
      <c r="G80" s="121"/>
      <c r="I80" s="347" t="str">
        <f>IF(M80=1,"Dateneingabe unvollständig","")</f>
        <v/>
      </c>
      <c r="K80" s="5">
        <f>IF(AND(SUM(F80:G80)&lt;&gt;0,OR(B80="",D80="",E80="")),1,IF(AND(SUM(F80:G80)=0,OR(B80&lt;&gt;"",D80&lt;&gt;"",E80&lt;&gt;"")),1,0))</f>
        <v>0</v>
      </c>
      <c r="L80" s="5">
        <f>IF(OR(AND(F80&lt;&gt;0,G80=0),AND(G80&lt;&gt;0,F80=0)),1,0)</f>
        <v>0</v>
      </c>
      <c r="M80" s="5">
        <f>MAX(K80:L80)</f>
        <v>0</v>
      </c>
    </row>
    <row r="81" spans="2:17" x14ac:dyDescent="0.25">
      <c r="B81" s="166"/>
      <c r="C81" s="167">
        <v>2021</v>
      </c>
      <c r="D81" s="118"/>
      <c r="E81" s="119"/>
      <c r="F81" s="120"/>
      <c r="G81" s="121"/>
      <c r="I81" s="347" t="str">
        <f t="shared" ref="I81:I95" si="8">IF(M81=1,"Dateneingabe unvollständig","")</f>
        <v/>
      </c>
      <c r="K81" s="5">
        <f t="shared" ref="K81:K89" si="9">IF(AND(SUM(F81:G81)&lt;&gt;0,OR(B81="",D81="",E81="")),1,IF(AND(SUM(F81:G81)=0,OR(B81&lt;&gt;"",D81&lt;&gt;"",E81&lt;&gt;"")),1,0))</f>
        <v>0</v>
      </c>
      <c r="L81" s="5">
        <f t="shared" ref="L81:L95" si="10">IF(OR(AND(F81&lt;&gt;0,G81=0),AND(G81&lt;&gt;0,F81=0)),1,0)</f>
        <v>0</v>
      </c>
      <c r="M81" s="5">
        <f t="shared" ref="M81:M95" si="11">MAX(K81:L81)</f>
        <v>0</v>
      </c>
    </row>
    <row r="82" spans="2:17" x14ac:dyDescent="0.25">
      <c r="B82" s="166"/>
      <c r="C82" s="167">
        <v>2021</v>
      </c>
      <c r="D82" s="118"/>
      <c r="E82" s="119"/>
      <c r="F82" s="120"/>
      <c r="G82" s="121"/>
      <c r="I82" s="347" t="str">
        <f t="shared" si="8"/>
        <v/>
      </c>
      <c r="K82" s="5">
        <f t="shared" si="9"/>
        <v>0</v>
      </c>
      <c r="L82" s="5">
        <f t="shared" si="10"/>
        <v>0</v>
      </c>
      <c r="M82" s="5">
        <f t="shared" si="11"/>
        <v>0</v>
      </c>
    </row>
    <row r="83" spans="2:17" x14ac:dyDescent="0.25">
      <c r="B83" s="166"/>
      <c r="C83" s="167">
        <v>2021</v>
      </c>
      <c r="D83" s="118"/>
      <c r="E83" s="119"/>
      <c r="F83" s="120"/>
      <c r="G83" s="121"/>
      <c r="I83" s="347" t="str">
        <f t="shared" si="8"/>
        <v/>
      </c>
      <c r="K83" s="5">
        <f t="shared" si="9"/>
        <v>0</v>
      </c>
      <c r="L83" s="5">
        <f t="shared" si="10"/>
        <v>0</v>
      </c>
      <c r="M83" s="5">
        <f t="shared" si="11"/>
        <v>0</v>
      </c>
    </row>
    <row r="84" spans="2:17" x14ac:dyDescent="0.25">
      <c r="B84" s="166"/>
      <c r="C84" s="167">
        <v>2021</v>
      </c>
      <c r="D84" s="118"/>
      <c r="E84" s="119"/>
      <c r="F84" s="120"/>
      <c r="G84" s="121"/>
      <c r="I84" s="347" t="str">
        <f t="shared" si="8"/>
        <v/>
      </c>
      <c r="K84" s="5">
        <f t="shared" si="9"/>
        <v>0</v>
      </c>
      <c r="L84" s="5">
        <f t="shared" si="10"/>
        <v>0</v>
      </c>
      <c r="M84" s="5">
        <f t="shared" si="11"/>
        <v>0</v>
      </c>
    </row>
    <row r="85" spans="2:17" x14ac:dyDescent="0.25">
      <c r="B85" s="166"/>
      <c r="C85" s="167">
        <v>2021</v>
      </c>
      <c r="D85" s="118"/>
      <c r="E85" s="119"/>
      <c r="F85" s="120"/>
      <c r="G85" s="121"/>
      <c r="I85" s="347" t="str">
        <f t="shared" si="8"/>
        <v/>
      </c>
      <c r="K85" s="5">
        <f t="shared" si="9"/>
        <v>0</v>
      </c>
      <c r="L85" s="5">
        <f t="shared" si="10"/>
        <v>0</v>
      </c>
      <c r="M85" s="5">
        <f t="shared" si="11"/>
        <v>0</v>
      </c>
    </row>
    <row r="86" spans="2:17" x14ac:dyDescent="0.25">
      <c r="B86" s="166"/>
      <c r="C86" s="167">
        <v>2021</v>
      </c>
      <c r="D86" s="118"/>
      <c r="E86" s="119"/>
      <c r="F86" s="120"/>
      <c r="G86" s="121"/>
      <c r="I86" s="347" t="str">
        <f t="shared" si="8"/>
        <v/>
      </c>
      <c r="K86" s="5">
        <f t="shared" si="9"/>
        <v>0</v>
      </c>
      <c r="L86" s="5">
        <f t="shared" si="10"/>
        <v>0</v>
      </c>
      <c r="M86" s="5">
        <f t="shared" si="11"/>
        <v>0</v>
      </c>
    </row>
    <row r="87" spans="2:17" x14ac:dyDescent="0.25">
      <c r="B87" s="166"/>
      <c r="C87" s="167">
        <v>2021</v>
      </c>
      <c r="D87" s="118"/>
      <c r="E87" s="119"/>
      <c r="F87" s="120"/>
      <c r="G87" s="121"/>
      <c r="I87" s="347" t="str">
        <f t="shared" si="8"/>
        <v/>
      </c>
      <c r="K87" s="5">
        <f t="shared" si="9"/>
        <v>0</v>
      </c>
      <c r="L87" s="5">
        <f t="shared" si="10"/>
        <v>0</v>
      </c>
      <c r="M87" s="5">
        <f t="shared" si="11"/>
        <v>0</v>
      </c>
    </row>
    <row r="88" spans="2:17" x14ac:dyDescent="0.25">
      <c r="B88" s="166"/>
      <c r="C88" s="167">
        <v>2021</v>
      </c>
      <c r="D88" s="118"/>
      <c r="E88" s="119"/>
      <c r="F88" s="120"/>
      <c r="G88" s="121"/>
      <c r="I88" s="347" t="str">
        <f t="shared" si="8"/>
        <v/>
      </c>
      <c r="K88" s="5">
        <f t="shared" si="9"/>
        <v>0</v>
      </c>
      <c r="L88" s="5">
        <f t="shared" si="10"/>
        <v>0</v>
      </c>
      <c r="M88" s="5">
        <f t="shared" si="11"/>
        <v>0</v>
      </c>
    </row>
    <row r="89" spans="2:17" x14ac:dyDescent="0.25">
      <c r="B89" s="166"/>
      <c r="C89" s="167">
        <v>2021</v>
      </c>
      <c r="D89" s="118"/>
      <c r="E89" s="119"/>
      <c r="F89" s="120"/>
      <c r="G89" s="121"/>
      <c r="I89" s="347" t="str">
        <f t="shared" si="8"/>
        <v/>
      </c>
      <c r="K89" s="5">
        <f t="shared" si="9"/>
        <v>0</v>
      </c>
      <c r="L89" s="5">
        <f t="shared" si="10"/>
        <v>0</v>
      </c>
      <c r="M89" s="5">
        <f t="shared" si="11"/>
        <v>0</v>
      </c>
    </row>
    <row r="90" spans="2:17" ht="15" customHeight="1" x14ac:dyDescent="0.25">
      <c r="B90" s="168" t="s">
        <v>1974</v>
      </c>
      <c r="C90" s="167">
        <v>2021</v>
      </c>
      <c r="D90" s="459" t="s">
        <v>2020</v>
      </c>
      <c r="E90" s="460"/>
      <c r="F90" s="120"/>
      <c r="G90" s="121"/>
      <c r="I90" s="347" t="str">
        <f t="shared" si="8"/>
        <v/>
      </c>
      <c r="L90" s="5">
        <f t="shared" si="10"/>
        <v>0</v>
      </c>
      <c r="M90" s="5">
        <f t="shared" si="11"/>
        <v>0</v>
      </c>
    </row>
    <row r="91" spans="2:17" x14ac:dyDescent="0.25">
      <c r="B91" s="168" t="s">
        <v>1955</v>
      </c>
      <c r="C91" s="167">
        <v>2021</v>
      </c>
      <c r="D91" s="461"/>
      <c r="E91" s="462"/>
      <c r="F91" s="120"/>
      <c r="G91" s="121"/>
      <c r="I91" s="347" t="str">
        <f t="shared" si="8"/>
        <v/>
      </c>
      <c r="L91" s="5">
        <f t="shared" si="10"/>
        <v>0</v>
      </c>
      <c r="M91" s="5">
        <f t="shared" si="11"/>
        <v>0</v>
      </c>
    </row>
    <row r="92" spans="2:17" x14ac:dyDescent="0.25">
      <c r="B92" s="168" t="s">
        <v>1956</v>
      </c>
      <c r="C92" s="167">
        <v>2021</v>
      </c>
      <c r="D92" s="461"/>
      <c r="E92" s="462"/>
      <c r="F92" s="120"/>
      <c r="G92" s="121"/>
      <c r="I92" s="347" t="str">
        <f t="shared" si="8"/>
        <v/>
      </c>
      <c r="L92" s="5">
        <f t="shared" si="10"/>
        <v>0</v>
      </c>
      <c r="M92" s="5">
        <f t="shared" si="11"/>
        <v>0</v>
      </c>
    </row>
    <row r="93" spans="2:17" x14ac:dyDescent="0.25">
      <c r="B93" s="168" t="s">
        <v>1957</v>
      </c>
      <c r="C93" s="167">
        <v>2021</v>
      </c>
      <c r="D93" s="461"/>
      <c r="E93" s="462"/>
      <c r="F93" s="120"/>
      <c r="G93" s="121"/>
      <c r="I93" s="347" t="str">
        <f t="shared" si="8"/>
        <v/>
      </c>
      <c r="L93" s="5">
        <f t="shared" si="10"/>
        <v>0</v>
      </c>
      <c r="M93" s="5">
        <f t="shared" si="11"/>
        <v>0</v>
      </c>
    </row>
    <row r="94" spans="2:17" x14ac:dyDescent="0.25">
      <c r="B94" s="168" t="s">
        <v>1958</v>
      </c>
      <c r="C94" s="167">
        <v>2021</v>
      </c>
      <c r="D94" s="461"/>
      <c r="E94" s="462"/>
      <c r="F94" s="120"/>
      <c r="G94" s="121"/>
      <c r="I94" s="347" t="str">
        <f t="shared" si="8"/>
        <v/>
      </c>
      <c r="L94" s="5">
        <f t="shared" si="10"/>
        <v>0</v>
      </c>
      <c r="M94" s="5">
        <f t="shared" si="11"/>
        <v>0</v>
      </c>
    </row>
    <row r="95" spans="2:17" ht="15.75" thickBot="1" x14ac:dyDescent="0.3">
      <c r="B95" s="168" t="s">
        <v>1959</v>
      </c>
      <c r="C95" s="167">
        <v>2021</v>
      </c>
      <c r="D95" s="463"/>
      <c r="E95" s="464"/>
      <c r="F95" s="169"/>
      <c r="G95" s="121"/>
      <c r="I95" s="347" t="str">
        <f t="shared" si="8"/>
        <v/>
      </c>
      <c r="L95" s="5">
        <f t="shared" si="10"/>
        <v>0</v>
      </c>
      <c r="M95" s="5">
        <f t="shared" si="11"/>
        <v>0</v>
      </c>
    </row>
    <row r="96" spans="2:17" ht="15.75" thickTop="1" x14ac:dyDescent="0.25">
      <c r="E96" s="2" t="s">
        <v>1917</v>
      </c>
      <c r="F96" s="177" t="str">
        <f>IF(OR(M96=1,SUM(F80:F95)=0),"Dateneingabe fehlt",SUM(F80:F95))</f>
        <v>Dateneingabe fehlt</v>
      </c>
      <c r="G96" s="122" t="str">
        <f>IF(OR(M96=1,SUM(G80:G95)=0),"Dateneingabe fehlt",SUM(G80:G95))</f>
        <v>Dateneingabe fehlt</v>
      </c>
      <c r="H96" s="176">
        <v>1</v>
      </c>
      <c r="I96" s="346" t="str">
        <f>IF(P96=1,"Bitte Dateneingabe vornehmen","")</f>
        <v/>
      </c>
      <c r="K96" s="178"/>
      <c r="L96" s="178"/>
      <c r="M96" s="178">
        <f>MAX(M80:M95)</f>
        <v>0</v>
      </c>
      <c r="O96" s="36">
        <f>M96</f>
        <v>0</v>
      </c>
      <c r="P96" s="36">
        <f>IF(AND(SUM(F96:G96)=0,SUM(F129:G130)&gt;0),1,0)</f>
        <v>0</v>
      </c>
      <c r="Q96" s="238" t="str">
        <f>F96</f>
        <v>Dateneingabe fehlt</v>
      </c>
    </row>
    <row r="97" spans="2:9" ht="24.75" thickBot="1" x14ac:dyDescent="0.3">
      <c r="F97" s="227" t="s">
        <v>2019</v>
      </c>
      <c r="G97" s="82"/>
    </row>
    <row r="98" spans="2:9" ht="15.75" thickTop="1" x14ac:dyDescent="0.25">
      <c r="F98" s="175"/>
      <c r="G98" s="82"/>
    </row>
    <row r="99" spans="2:9" x14ac:dyDescent="0.25">
      <c r="E99" s="11" t="s">
        <v>2180</v>
      </c>
      <c r="G99" s="82"/>
    </row>
    <row r="100" spans="2:9" ht="15" customHeight="1" x14ac:dyDescent="0.25">
      <c r="E100" s="468" t="s">
        <v>1915</v>
      </c>
      <c r="F100" s="468"/>
      <c r="G100" s="141"/>
      <c r="I100" s="404" t="s">
        <v>1985</v>
      </c>
    </row>
    <row r="101" spans="2:9" x14ac:dyDescent="0.25">
      <c r="E101" s="468" t="s">
        <v>1916</v>
      </c>
      <c r="F101" s="468"/>
      <c r="G101" s="141"/>
      <c r="I101" s="404"/>
    </row>
    <row r="102" spans="2:9" x14ac:dyDescent="0.25">
      <c r="E102" s="468" t="s">
        <v>2260</v>
      </c>
      <c r="F102" s="468"/>
      <c r="G102" s="141"/>
      <c r="I102" s="404"/>
    </row>
    <row r="103" spans="2:9" x14ac:dyDescent="0.25">
      <c r="E103" s="59" t="s">
        <v>1918</v>
      </c>
      <c r="F103" s="59"/>
      <c r="G103" s="221">
        <f>SUM(G100:G102)</f>
        <v>0</v>
      </c>
      <c r="H103" s="176">
        <v>2</v>
      </c>
    </row>
    <row r="104" spans="2:9" ht="6.95" customHeight="1" x14ac:dyDescent="0.25">
      <c r="G104" s="222"/>
    </row>
    <row r="105" spans="2:9" x14ac:dyDescent="0.25">
      <c r="E105" s="60"/>
      <c r="G105" s="223" t="str">
        <f>IFERROR(G96-G103,"Dateneingabe fehlt")</f>
        <v>Dateneingabe fehlt</v>
      </c>
    </row>
    <row r="106" spans="2:9" ht="6.95" customHeight="1" thickBot="1" x14ac:dyDescent="0.3"/>
    <row r="107" spans="2:9" ht="15.75" thickTop="1" x14ac:dyDescent="0.25">
      <c r="E107" s="224" t="s">
        <v>2063</v>
      </c>
      <c r="F107" s="225" t="str">
        <f>IFERROR(G105/F96,"Dateneingabe fehlt")</f>
        <v>Dateneingabe fehlt</v>
      </c>
      <c r="G107" s="226" t="s">
        <v>1914</v>
      </c>
    </row>
    <row r="108" spans="2:9" ht="15.75" thickBot="1" x14ac:dyDescent="0.3">
      <c r="E108" s="465" t="s">
        <v>2019</v>
      </c>
      <c r="F108" s="466"/>
      <c r="G108" s="467"/>
    </row>
    <row r="109" spans="2:9" ht="15.75" thickTop="1" x14ac:dyDescent="0.25">
      <c r="B109" s="14"/>
      <c r="C109" s="14"/>
      <c r="D109" s="14"/>
      <c r="E109" s="14"/>
      <c r="F109" s="14"/>
      <c r="G109" s="236"/>
      <c r="H109" s="14"/>
    </row>
    <row r="111" spans="2:9" ht="15" customHeight="1" x14ac:dyDescent="0.25">
      <c r="B111" s="452" t="s">
        <v>2241</v>
      </c>
      <c r="C111" s="470" t="s">
        <v>1912</v>
      </c>
      <c r="D111" s="472" t="s">
        <v>1911</v>
      </c>
      <c r="E111" s="470" t="s">
        <v>1943</v>
      </c>
      <c r="F111" s="472" t="s">
        <v>2181</v>
      </c>
      <c r="G111" s="476" t="s">
        <v>2182</v>
      </c>
    </row>
    <row r="112" spans="2:9" ht="30" customHeight="1" x14ac:dyDescent="0.25">
      <c r="B112" s="469"/>
      <c r="C112" s="471"/>
      <c r="D112" s="473"/>
      <c r="E112" s="471"/>
      <c r="F112" s="471"/>
      <c r="G112" s="477"/>
    </row>
    <row r="113" spans="2:13" x14ac:dyDescent="0.25">
      <c r="B113" s="166"/>
      <c r="C113" s="167">
        <v>2022</v>
      </c>
      <c r="D113" s="118"/>
      <c r="E113" s="119"/>
      <c r="F113" s="120"/>
      <c r="G113" s="121"/>
      <c r="I113" s="347" t="str">
        <f>IF(M113=1,"Dateneingabe unvollständig","")</f>
        <v/>
      </c>
      <c r="K113" s="5">
        <f>IF(AND(SUM(F113:G113)&lt;&gt;0,OR(B113="",D113="",E113="")),1,IF(AND(SUM(F113:G113)=0,OR(B113&lt;&gt;"",D113&lt;&gt;"",E113&lt;&gt;"")),1,0))</f>
        <v>0</v>
      </c>
      <c r="L113" s="5">
        <f>IF(OR(AND(F113&lt;&gt;0,G113=0),AND(G113&lt;&gt;0,F113=0)),1,0)</f>
        <v>0</v>
      </c>
      <c r="M113" s="5">
        <f>MAX(K113:L113)</f>
        <v>0</v>
      </c>
    </row>
    <row r="114" spans="2:13" x14ac:dyDescent="0.25">
      <c r="B114" s="166"/>
      <c r="C114" s="167">
        <v>2022</v>
      </c>
      <c r="D114" s="118"/>
      <c r="E114" s="119"/>
      <c r="F114" s="120"/>
      <c r="G114" s="121"/>
      <c r="I114" s="347" t="str">
        <f t="shared" ref="I114:I128" si="12">IF(M114=1,"Dateneingabe unvollständig","")</f>
        <v/>
      </c>
      <c r="K114" s="5">
        <f t="shared" ref="K114:K122" si="13">IF(AND(SUM(F114:G114)&lt;&gt;0,OR(B114="",D114="",E114="")),1,IF(AND(SUM(F114:G114)=0,OR(B114&lt;&gt;"",D114&lt;&gt;"",E114&lt;&gt;"")),1,0))</f>
        <v>0</v>
      </c>
      <c r="L114" s="5">
        <f t="shared" ref="L114:L128" si="14">IF(OR(AND(F114&lt;&gt;0,G114=0),AND(G114&lt;&gt;0,F114=0)),1,0)</f>
        <v>0</v>
      </c>
      <c r="M114" s="5">
        <f t="shared" ref="M114:M128" si="15">MAX(K114:L114)</f>
        <v>0</v>
      </c>
    </row>
    <row r="115" spans="2:13" x14ac:dyDescent="0.25">
      <c r="B115" s="166"/>
      <c r="C115" s="167">
        <v>2022</v>
      </c>
      <c r="D115" s="118"/>
      <c r="E115" s="119"/>
      <c r="F115" s="120"/>
      <c r="G115" s="121"/>
      <c r="I115" s="347" t="str">
        <f t="shared" si="12"/>
        <v/>
      </c>
      <c r="K115" s="5">
        <f t="shared" si="13"/>
        <v>0</v>
      </c>
      <c r="L115" s="5">
        <f t="shared" si="14"/>
        <v>0</v>
      </c>
      <c r="M115" s="5">
        <f t="shared" si="15"/>
        <v>0</v>
      </c>
    </row>
    <row r="116" spans="2:13" x14ac:dyDescent="0.25">
      <c r="B116" s="166"/>
      <c r="C116" s="167">
        <v>2022</v>
      </c>
      <c r="D116" s="118"/>
      <c r="E116" s="119"/>
      <c r="F116" s="120"/>
      <c r="G116" s="121"/>
      <c r="I116" s="347" t="str">
        <f t="shared" si="12"/>
        <v/>
      </c>
      <c r="K116" s="5">
        <f t="shared" si="13"/>
        <v>0</v>
      </c>
      <c r="L116" s="5">
        <f t="shared" si="14"/>
        <v>0</v>
      </c>
      <c r="M116" s="5">
        <f t="shared" si="15"/>
        <v>0</v>
      </c>
    </row>
    <row r="117" spans="2:13" x14ac:dyDescent="0.25">
      <c r="B117" s="166"/>
      <c r="C117" s="167">
        <v>2022</v>
      </c>
      <c r="D117" s="118"/>
      <c r="E117" s="119"/>
      <c r="F117" s="120"/>
      <c r="G117" s="121"/>
      <c r="I117" s="347" t="str">
        <f t="shared" si="12"/>
        <v/>
      </c>
      <c r="K117" s="5">
        <f t="shared" si="13"/>
        <v>0</v>
      </c>
      <c r="L117" s="5">
        <f t="shared" si="14"/>
        <v>0</v>
      </c>
      <c r="M117" s="5">
        <f t="shared" si="15"/>
        <v>0</v>
      </c>
    </row>
    <row r="118" spans="2:13" x14ac:dyDescent="0.25">
      <c r="B118" s="166"/>
      <c r="C118" s="167">
        <v>2022</v>
      </c>
      <c r="D118" s="118"/>
      <c r="E118" s="119"/>
      <c r="F118" s="120"/>
      <c r="G118" s="121"/>
      <c r="I118" s="347" t="str">
        <f t="shared" si="12"/>
        <v/>
      </c>
      <c r="K118" s="5">
        <f t="shared" si="13"/>
        <v>0</v>
      </c>
      <c r="L118" s="5">
        <f t="shared" si="14"/>
        <v>0</v>
      </c>
      <c r="M118" s="5">
        <f t="shared" si="15"/>
        <v>0</v>
      </c>
    </row>
    <row r="119" spans="2:13" x14ac:dyDescent="0.25">
      <c r="B119" s="166"/>
      <c r="C119" s="167">
        <v>2022</v>
      </c>
      <c r="D119" s="118"/>
      <c r="E119" s="119"/>
      <c r="F119" s="120"/>
      <c r="G119" s="121"/>
      <c r="I119" s="347" t="str">
        <f t="shared" si="12"/>
        <v/>
      </c>
      <c r="K119" s="5">
        <f t="shared" si="13"/>
        <v>0</v>
      </c>
      <c r="L119" s="5">
        <f t="shared" si="14"/>
        <v>0</v>
      </c>
      <c r="M119" s="5">
        <f t="shared" si="15"/>
        <v>0</v>
      </c>
    </row>
    <row r="120" spans="2:13" x14ac:dyDescent="0.25">
      <c r="B120" s="166"/>
      <c r="C120" s="167">
        <v>2022</v>
      </c>
      <c r="D120" s="118"/>
      <c r="E120" s="119"/>
      <c r="F120" s="120"/>
      <c r="G120" s="121"/>
      <c r="I120" s="347" t="str">
        <f t="shared" si="12"/>
        <v/>
      </c>
      <c r="K120" s="5">
        <f t="shared" si="13"/>
        <v>0</v>
      </c>
      <c r="L120" s="5">
        <f t="shared" si="14"/>
        <v>0</v>
      </c>
      <c r="M120" s="5">
        <f t="shared" si="15"/>
        <v>0</v>
      </c>
    </row>
    <row r="121" spans="2:13" x14ac:dyDescent="0.25">
      <c r="B121" s="166"/>
      <c r="C121" s="167">
        <v>2022</v>
      </c>
      <c r="D121" s="118"/>
      <c r="E121" s="119"/>
      <c r="F121" s="120"/>
      <c r="G121" s="121"/>
      <c r="I121" s="347" t="str">
        <f t="shared" si="12"/>
        <v/>
      </c>
      <c r="K121" s="5">
        <f t="shared" si="13"/>
        <v>0</v>
      </c>
      <c r="L121" s="5">
        <f t="shared" si="14"/>
        <v>0</v>
      </c>
      <c r="M121" s="5">
        <f t="shared" si="15"/>
        <v>0</v>
      </c>
    </row>
    <row r="122" spans="2:13" x14ac:dyDescent="0.25">
      <c r="B122" s="166"/>
      <c r="C122" s="167">
        <v>2022</v>
      </c>
      <c r="D122" s="118"/>
      <c r="E122" s="119"/>
      <c r="F122" s="120"/>
      <c r="G122" s="121"/>
      <c r="I122" s="347" t="str">
        <f t="shared" si="12"/>
        <v/>
      </c>
      <c r="K122" s="5">
        <f t="shared" si="13"/>
        <v>0</v>
      </c>
      <c r="L122" s="5">
        <f t="shared" si="14"/>
        <v>0</v>
      </c>
      <c r="M122" s="5">
        <f t="shared" si="15"/>
        <v>0</v>
      </c>
    </row>
    <row r="123" spans="2:13" ht="15" customHeight="1" x14ac:dyDescent="0.25">
      <c r="B123" s="168" t="s">
        <v>1974</v>
      </c>
      <c r="C123" s="167">
        <v>2022</v>
      </c>
      <c r="D123" s="459" t="s">
        <v>2020</v>
      </c>
      <c r="E123" s="460"/>
      <c r="F123" s="120"/>
      <c r="G123" s="121"/>
      <c r="I123" s="347" t="str">
        <f t="shared" si="12"/>
        <v/>
      </c>
      <c r="L123" s="5">
        <f t="shared" si="14"/>
        <v>0</v>
      </c>
      <c r="M123" s="5">
        <f t="shared" si="15"/>
        <v>0</v>
      </c>
    </row>
    <row r="124" spans="2:13" x14ac:dyDescent="0.25">
      <c r="B124" s="168" t="s">
        <v>1955</v>
      </c>
      <c r="C124" s="167">
        <v>2022</v>
      </c>
      <c r="D124" s="461"/>
      <c r="E124" s="462"/>
      <c r="F124" s="120"/>
      <c r="G124" s="121"/>
      <c r="I124" s="347" t="str">
        <f t="shared" si="12"/>
        <v/>
      </c>
      <c r="L124" s="5">
        <f t="shared" si="14"/>
        <v>0</v>
      </c>
      <c r="M124" s="5">
        <f t="shared" si="15"/>
        <v>0</v>
      </c>
    </row>
    <row r="125" spans="2:13" x14ac:dyDescent="0.25">
      <c r="B125" s="168" t="s">
        <v>1956</v>
      </c>
      <c r="C125" s="167">
        <v>2022</v>
      </c>
      <c r="D125" s="461"/>
      <c r="E125" s="462"/>
      <c r="F125" s="120"/>
      <c r="G125" s="121"/>
      <c r="I125" s="347" t="str">
        <f t="shared" si="12"/>
        <v/>
      </c>
      <c r="L125" s="5">
        <f t="shared" si="14"/>
        <v>0</v>
      </c>
      <c r="M125" s="5">
        <f t="shared" si="15"/>
        <v>0</v>
      </c>
    </row>
    <row r="126" spans="2:13" x14ac:dyDescent="0.25">
      <c r="B126" s="168" t="s">
        <v>1957</v>
      </c>
      <c r="C126" s="167">
        <v>2022</v>
      </c>
      <c r="D126" s="461"/>
      <c r="E126" s="462"/>
      <c r="F126" s="120"/>
      <c r="G126" s="121"/>
      <c r="I126" s="347" t="str">
        <f t="shared" si="12"/>
        <v/>
      </c>
      <c r="L126" s="5">
        <f t="shared" si="14"/>
        <v>0</v>
      </c>
      <c r="M126" s="5">
        <f t="shared" si="15"/>
        <v>0</v>
      </c>
    </row>
    <row r="127" spans="2:13" x14ac:dyDescent="0.25">
      <c r="B127" s="168" t="s">
        <v>1958</v>
      </c>
      <c r="C127" s="167">
        <v>2022</v>
      </c>
      <c r="D127" s="461"/>
      <c r="E127" s="462"/>
      <c r="F127" s="120"/>
      <c r="G127" s="121"/>
      <c r="I127" s="347" t="str">
        <f t="shared" si="12"/>
        <v/>
      </c>
      <c r="L127" s="5">
        <f t="shared" si="14"/>
        <v>0</v>
      </c>
      <c r="M127" s="5">
        <f t="shared" si="15"/>
        <v>0</v>
      </c>
    </row>
    <row r="128" spans="2:13" ht="15.75" thickBot="1" x14ac:dyDescent="0.3">
      <c r="B128" s="168" t="s">
        <v>1959</v>
      </c>
      <c r="C128" s="167">
        <v>2022</v>
      </c>
      <c r="D128" s="463"/>
      <c r="E128" s="464"/>
      <c r="F128" s="169"/>
      <c r="G128" s="121"/>
      <c r="I128" s="347" t="str">
        <f t="shared" si="12"/>
        <v/>
      </c>
      <c r="L128" s="5">
        <f t="shared" si="14"/>
        <v>0</v>
      </c>
      <c r="M128" s="5">
        <f t="shared" si="15"/>
        <v>0</v>
      </c>
    </row>
    <row r="129" spans="1:17" ht="15.75" thickTop="1" x14ac:dyDescent="0.25">
      <c r="E129" s="2" t="s">
        <v>1917</v>
      </c>
      <c r="F129" s="177" t="str">
        <f>IF(OR(M129=1,SUM(F113:F128)=0),"Dateneingabe fehlt",SUM(F113:F128))</f>
        <v>Dateneingabe fehlt</v>
      </c>
      <c r="G129" s="122" t="str">
        <f>IF(OR(M129=1,SUM(G113:G128)=0),"Dateneingabe fehlt",SUM(G113:G128))</f>
        <v>Dateneingabe fehlt</v>
      </c>
      <c r="H129" s="176">
        <v>1</v>
      </c>
      <c r="I129" s="346" t="str">
        <f>IF(P129=1,"Bitte Dateneingabe vornehmen","")</f>
        <v/>
      </c>
      <c r="K129" s="178"/>
      <c r="L129" s="178"/>
      <c r="M129" s="178">
        <f>MAX(M113:M128)</f>
        <v>0</v>
      </c>
      <c r="O129" s="36">
        <f>M129</f>
        <v>0</v>
      </c>
      <c r="P129" s="36">
        <f>IF(AND(SUM(F129:G130)=0,SUM(F96:G96)&gt;0),1,0)</f>
        <v>0</v>
      </c>
      <c r="Q129" s="238" t="str">
        <f>F129</f>
        <v>Dateneingabe fehlt</v>
      </c>
    </row>
    <row r="130" spans="1:17" ht="24.75" thickBot="1" x14ac:dyDescent="0.3">
      <c r="F130" s="227" t="s">
        <v>2019</v>
      </c>
      <c r="G130" s="82"/>
    </row>
    <row r="131" spans="1:17" ht="15.75" thickTop="1" x14ac:dyDescent="0.25">
      <c r="F131" s="175"/>
      <c r="G131" s="82"/>
    </row>
    <row r="132" spans="1:17" x14ac:dyDescent="0.25">
      <c r="E132" s="11" t="s">
        <v>2180</v>
      </c>
      <c r="G132" s="82"/>
    </row>
    <row r="133" spans="1:17" x14ac:dyDescent="0.25">
      <c r="E133" s="468" t="s">
        <v>1915</v>
      </c>
      <c r="F133" s="468"/>
      <c r="G133" s="141"/>
      <c r="I133" s="404" t="s">
        <v>1985</v>
      </c>
    </row>
    <row r="134" spans="1:17" x14ac:dyDescent="0.25">
      <c r="E134" s="468" t="s">
        <v>1916</v>
      </c>
      <c r="F134" s="468"/>
      <c r="G134" s="141"/>
      <c r="I134" s="404"/>
    </row>
    <row r="135" spans="1:17" x14ac:dyDescent="0.25">
      <c r="E135" s="468" t="s">
        <v>2260</v>
      </c>
      <c r="F135" s="468"/>
      <c r="G135" s="141"/>
      <c r="I135" s="404"/>
    </row>
    <row r="136" spans="1:17" x14ac:dyDescent="0.25">
      <c r="E136" s="59" t="s">
        <v>1918</v>
      </c>
      <c r="F136" s="59"/>
      <c r="G136" s="221">
        <f>SUM(G133:G135)</f>
        <v>0</v>
      </c>
      <c r="H136" s="176">
        <v>2</v>
      </c>
    </row>
    <row r="137" spans="1:17" ht="6.95" customHeight="1" x14ac:dyDescent="0.25">
      <c r="G137" s="222"/>
    </row>
    <row r="138" spans="1:17" x14ac:dyDescent="0.25">
      <c r="E138" s="60"/>
      <c r="G138" s="223" t="str">
        <f>IFERROR(G129-G136,"Dateneingabe fehlt")</f>
        <v>Dateneingabe fehlt</v>
      </c>
    </row>
    <row r="139" spans="1:17" ht="6.95" customHeight="1" thickBot="1" x14ac:dyDescent="0.3">
      <c r="E139" s="60"/>
      <c r="G139" s="83"/>
    </row>
    <row r="140" spans="1:17" ht="15.75" thickTop="1" x14ac:dyDescent="0.25">
      <c r="E140" s="224" t="s">
        <v>2064</v>
      </c>
      <c r="F140" s="225" t="str">
        <f>IFERROR(G138/F129,"Dateneingabe fehlt")</f>
        <v>Dateneingabe fehlt</v>
      </c>
      <c r="G140" s="226" t="s">
        <v>1914</v>
      </c>
    </row>
    <row r="141" spans="1:17" ht="15.75" thickBot="1" x14ac:dyDescent="0.3">
      <c r="E141" s="465" t="s">
        <v>2019</v>
      </c>
      <c r="F141" s="466"/>
      <c r="G141" s="467"/>
    </row>
    <row r="142" spans="1:17" ht="16.5" thickTop="1" thickBot="1" x14ac:dyDescent="0.3">
      <c r="A142" s="61"/>
      <c r="B142" s="61"/>
      <c r="C142" s="61"/>
      <c r="D142" s="61"/>
      <c r="E142" s="61"/>
      <c r="F142" s="61"/>
      <c r="G142" s="84"/>
      <c r="H142" s="61"/>
    </row>
    <row r="144" spans="1:17" ht="15.75" x14ac:dyDescent="0.25">
      <c r="A144" s="12" t="s">
        <v>2021</v>
      </c>
      <c r="C144" s="11"/>
    </row>
    <row r="146" spans="2:13" ht="15" customHeight="1" x14ac:dyDescent="0.25">
      <c r="B146" s="452" t="s">
        <v>2241</v>
      </c>
      <c r="C146" s="470" t="s">
        <v>1912</v>
      </c>
      <c r="D146" s="472" t="s">
        <v>1911</v>
      </c>
      <c r="E146" s="470" t="s">
        <v>1943</v>
      </c>
      <c r="F146" s="472" t="s">
        <v>2181</v>
      </c>
      <c r="G146" s="476" t="s">
        <v>2182</v>
      </c>
    </row>
    <row r="147" spans="2:13" x14ac:dyDescent="0.25">
      <c r="B147" s="469"/>
      <c r="C147" s="471"/>
      <c r="D147" s="473"/>
      <c r="E147" s="471"/>
      <c r="F147" s="471"/>
      <c r="G147" s="477"/>
    </row>
    <row r="148" spans="2:13" x14ac:dyDescent="0.25">
      <c r="B148" s="166"/>
      <c r="C148" s="167">
        <v>2021</v>
      </c>
      <c r="D148" s="118"/>
      <c r="E148" s="119"/>
      <c r="F148" s="120"/>
      <c r="G148" s="121"/>
      <c r="I148" s="347" t="str">
        <f>IF(M148=1,"Dateneingabe unvollständig","")</f>
        <v/>
      </c>
      <c r="K148" s="5">
        <f>IF(AND(SUM(F148:G148)&lt;&gt;0,OR(B148="",D148="",E148="")),1,IF(AND(SUM(F148:G148)=0,OR(B148&lt;&gt;"",D148&lt;&gt;"",E148&lt;&gt;"")),1,0))</f>
        <v>0</v>
      </c>
      <c r="L148" s="5">
        <f>IF(OR(AND(F148&lt;&gt;0,G148=0),AND(G148&lt;&gt;0,F148=0)),1,0)</f>
        <v>0</v>
      </c>
      <c r="M148" s="5">
        <f>MAX(K148:L148)</f>
        <v>0</v>
      </c>
    </row>
    <row r="149" spans="2:13" x14ac:dyDescent="0.25">
      <c r="B149" s="166"/>
      <c r="C149" s="167">
        <v>2021</v>
      </c>
      <c r="D149" s="118"/>
      <c r="E149" s="119"/>
      <c r="F149" s="120"/>
      <c r="G149" s="121"/>
      <c r="I149" s="347" t="str">
        <f t="shared" ref="I149:I163" si="16">IF(M149=1,"Dateneingabe unvollständig","")</f>
        <v/>
      </c>
      <c r="K149" s="5">
        <f t="shared" ref="K149:K157" si="17">IF(AND(SUM(F149:G149)&lt;&gt;0,OR(B149="",D149="",E149="")),1,IF(AND(SUM(F149:G149)=0,OR(B149&lt;&gt;"",D149&lt;&gt;"",E149&lt;&gt;"")),1,0))</f>
        <v>0</v>
      </c>
      <c r="L149" s="5">
        <f t="shared" ref="L149:L163" si="18">IF(OR(AND(F149&lt;&gt;0,G149=0),AND(G149&lt;&gt;0,F149=0)),1,0)</f>
        <v>0</v>
      </c>
      <c r="M149" s="5">
        <f t="shared" ref="M149:M163" si="19">MAX(K149:L149)</f>
        <v>0</v>
      </c>
    </row>
    <row r="150" spans="2:13" x14ac:dyDescent="0.25">
      <c r="B150" s="166"/>
      <c r="C150" s="167">
        <v>2021</v>
      </c>
      <c r="D150" s="118"/>
      <c r="E150" s="119"/>
      <c r="F150" s="120"/>
      <c r="G150" s="121"/>
      <c r="I150" s="347" t="str">
        <f t="shared" si="16"/>
        <v/>
      </c>
      <c r="K150" s="5">
        <f t="shared" si="17"/>
        <v>0</v>
      </c>
      <c r="L150" s="5">
        <f t="shared" si="18"/>
        <v>0</v>
      </c>
      <c r="M150" s="5">
        <f t="shared" si="19"/>
        <v>0</v>
      </c>
    </row>
    <row r="151" spans="2:13" x14ac:dyDescent="0.25">
      <c r="B151" s="166"/>
      <c r="C151" s="167">
        <v>2021</v>
      </c>
      <c r="D151" s="118"/>
      <c r="E151" s="119"/>
      <c r="F151" s="120"/>
      <c r="G151" s="121"/>
      <c r="I151" s="347" t="str">
        <f t="shared" si="16"/>
        <v/>
      </c>
      <c r="K151" s="5">
        <f t="shared" si="17"/>
        <v>0</v>
      </c>
      <c r="L151" s="5">
        <f t="shared" si="18"/>
        <v>0</v>
      </c>
      <c r="M151" s="5">
        <f t="shared" si="19"/>
        <v>0</v>
      </c>
    </row>
    <row r="152" spans="2:13" x14ac:dyDescent="0.25">
      <c r="B152" s="166"/>
      <c r="C152" s="167">
        <v>2021</v>
      </c>
      <c r="D152" s="118"/>
      <c r="E152" s="119"/>
      <c r="F152" s="120"/>
      <c r="G152" s="121"/>
      <c r="I152" s="347" t="str">
        <f t="shared" si="16"/>
        <v/>
      </c>
      <c r="K152" s="5">
        <f t="shared" si="17"/>
        <v>0</v>
      </c>
      <c r="L152" s="5">
        <f t="shared" si="18"/>
        <v>0</v>
      </c>
      <c r="M152" s="5">
        <f t="shared" si="19"/>
        <v>0</v>
      </c>
    </row>
    <row r="153" spans="2:13" x14ac:dyDescent="0.25">
      <c r="B153" s="166"/>
      <c r="C153" s="167">
        <v>2021</v>
      </c>
      <c r="D153" s="118"/>
      <c r="E153" s="119"/>
      <c r="F153" s="120"/>
      <c r="G153" s="121"/>
      <c r="I153" s="347" t="str">
        <f t="shared" si="16"/>
        <v/>
      </c>
      <c r="K153" s="5">
        <f t="shared" si="17"/>
        <v>0</v>
      </c>
      <c r="L153" s="5">
        <f t="shared" si="18"/>
        <v>0</v>
      </c>
      <c r="M153" s="5">
        <f t="shared" si="19"/>
        <v>0</v>
      </c>
    </row>
    <row r="154" spans="2:13" x14ac:dyDescent="0.25">
      <c r="B154" s="166"/>
      <c r="C154" s="167">
        <v>2021</v>
      </c>
      <c r="D154" s="118"/>
      <c r="E154" s="119"/>
      <c r="F154" s="120"/>
      <c r="G154" s="121"/>
      <c r="I154" s="347" t="str">
        <f t="shared" si="16"/>
        <v/>
      </c>
      <c r="K154" s="5">
        <f t="shared" si="17"/>
        <v>0</v>
      </c>
      <c r="L154" s="5">
        <f t="shared" si="18"/>
        <v>0</v>
      </c>
      <c r="M154" s="5">
        <f t="shared" si="19"/>
        <v>0</v>
      </c>
    </row>
    <row r="155" spans="2:13" x14ac:dyDescent="0.25">
      <c r="B155" s="166"/>
      <c r="C155" s="167">
        <v>2021</v>
      </c>
      <c r="D155" s="118"/>
      <c r="E155" s="119"/>
      <c r="F155" s="120"/>
      <c r="G155" s="121"/>
      <c r="I155" s="347" t="str">
        <f t="shared" si="16"/>
        <v/>
      </c>
      <c r="K155" s="5">
        <f t="shared" si="17"/>
        <v>0</v>
      </c>
      <c r="L155" s="5">
        <f t="shared" si="18"/>
        <v>0</v>
      </c>
      <c r="M155" s="5">
        <f t="shared" si="19"/>
        <v>0</v>
      </c>
    </row>
    <row r="156" spans="2:13" x14ac:dyDescent="0.25">
      <c r="B156" s="166"/>
      <c r="C156" s="167">
        <v>2021</v>
      </c>
      <c r="D156" s="118"/>
      <c r="E156" s="119"/>
      <c r="F156" s="120"/>
      <c r="G156" s="121"/>
      <c r="I156" s="347" t="str">
        <f t="shared" si="16"/>
        <v/>
      </c>
      <c r="K156" s="5">
        <f t="shared" si="17"/>
        <v>0</v>
      </c>
      <c r="L156" s="5">
        <f t="shared" si="18"/>
        <v>0</v>
      </c>
      <c r="M156" s="5">
        <f t="shared" si="19"/>
        <v>0</v>
      </c>
    </row>
    <row r="157" spans="2:13" x14ac:dyDescent="0.25">
      <c r="B157" s="166"/>
      <c r="C157" s="167">
        <v>2021</v>
      </c>
      <c r="D157" s="118"/>
      <c r="E157" s="119"/>
      <c r="F157" s="120"/>
      <c r="G157" s="121"/>
      <c r="I157" s="347" t="str">
        <f t="shared" si="16"/>
        <v/>
      </c>
      <c r="K157" s="5">
        <f t="shared" si="17"/>
        <v>0</v>
      </c>
      <c r="L157" s="5">
        <f t="shared" si="18"/>
        <v>0</v>
      </c>
      <c r="M157" s="5">
        <f t="shared" si="19"/>
        <v>0</v>
      </c>
    </row>
    <row r="158" spans="2:13" x14ac:dyDescent="0.25">
      <c r="B158" s="168" t="s">
        <v>1974</v>
      </c>
      <c r="C158" s="167">
        <v>2021</v>
      </c>
      <c r="D158" s="459" t="s">
        <v>2020</v>
      </c>
      <c r="E158" s="460"/>
      <c r="F158" s="120"/>
      <c r="G158" s="121"/>
      <c r="I158" s="347" t="str">
        <f t="shared" si="16"/>
        <v/>
      </c>
      <c r="L158" s="5">
        <f t="shared" si="18"/>
        <v>0</v>
      </c>
      <c r="M158" s="5">
        <f t="shared" si="19"/>
        <v>0</v>
      </c>
    </row>
    <row r="159" spans="2:13" x14ac:dyDescent="0.25">
      <c r="B159" s="168" t="s">
        <v>1955</v>
      </c>
      <c r="C159" s="167">
        <v>2021</v>
      </c>
      <c r="D159" s="461"/>
      <c r="E159" s="462"/>
      <c r="F159" s="120"/>
      <c r="G159" s="121"/>
      <c r="I159" s="347" t="str">
        <f t="shared" si="16"/>
        <v/>
      </c>
      <c r="L159" s="5">
        <f t="shared" si="18"/>
        <v>0</v>
      </c>
      <c r="M159" s="5">
        <f t="shared" si="19"/>
        <v>0</v>
      </c>
    </row>
    <row r="160" spans="2:13" x14ac:dyDescent="0.25">
      <c r="B160" s="168" t="s">
        <v>1956</v>
      </c>
      <c r="C160" s="167">
        <v>2021</v>
      </c>
      <c r="D160" s="461"/>
      <c r="E160" s="462"/>
      <c r="F160" s="120"/>
      <c r="G160" s="121"/>
      <c r="I160" s="347" t="str">
        <f t="shared" si="16"/>
        <v/>
      </c>
      <c r="L160" s="5">
        <f t="shared" si="18"/>
        <v>0</v>
      </c>
      <c r="M160" s="5">
        <f t="shared" si="19"/>
        <v>0</v>
      </c>
    </row>
    <row r="161" spans="2:17" x14ac:dyDescent="0.25">
      <c r="B161" s="168" t="s">
        <v>1957</v>
      </c>
      <c r="C161" s="167">
        <v>2021</v>
      </c>
      <c r="D161" s="461"/>
      <c r="E161" s="462"/>
      <c r="F161" s="120"/>
      <c r="G161" s="121"/>
      <c r="I161" s="347" t="str">
        <f t="shared" si="16"/>
        <v/>
      </c>
      <c r="L161" s="5">
        <f t="shared" si="18"/>
        <v>0</v>
      </c>
      <c r="M161" s="5">
        <f t="shared" si="19"/>
        <v>0</v>
      </c>
    </row>
    <row r="162" spans="2:17" x14ac:dyDescent="0.25">
      <c r="B162" s="168" t="s">
        <v>1958</v>
      </c>
      <c r="C162" s="167">
        <v>2021</v>
      </c>
      <c r="D162" s="461"/>
      <c r="E162" s="462"/>
      <c r="F162" s="120"/>
      <c r="G162" s="121"/>
      <c r="I162" s="347" t="str">
        <f t="shared" si="16"/>
        <v/>
      </c>
      <c r="L162" s="5">
        <f t="shared" si="18"/>
        <v>0</v>
      </c>
      <c r="M162" s="5">
        <f t="shared" si="19"/>
        <v>0</v>
      </c>
    </row>
    <row r="163" spans="2:17" ht="15.75" thickBot="1" x14ac:dyDescent="0.3">
      <c r="B163" s="168" t="s">
        <v>1959</v>
      </c>
      <c r="C163" s="167">
        <v>2021</v>
      </c>
      <c r="D163" s="463"/>
      <c r="E163" s="464"/>
      <c r="F163" s="169"/>
      <c r="G163" s="121"/>
      <c r="I163" s="347" t="str">
        <f t="shared" si="16"/>
        <v/>
      </c>
      <c r="L163" s="5">
        <f t="shared" si="18"/>
        <v>0</v>
      </c>
      <c r="M163" s="5">
        <f t="shared" si="19"/>
        <v>0</v>
      </c>
    </row>
    <row r="164" spans="2:17" ht="15.75" thickTop="1" x14ac:dyDescent="0.25">
      <c r="E164" s="2" t="s">
        <v>1917</v>
      </c>
      <c r="F164" s="177" t="str">
        <f>IF(OR(M164=1,SUM(F148:F163)=0),"Dateneingabe fehlt",SUM(F148:F163))</f>
        <v>Dateneingabe fehlt</v>
      </c>
      <c r="G164" s="122" t="str">
        <f>IF(OR(M164=1,SUM(G148:G163)=0),"Dateneingabe fehlt",SUM(G148:G163))</f>
        <v>Dateneingabe fehlt</v>
      </c>
      <c r="H164" s="176">
        <v>1</v>
      </c>
      <c r="I164" s="346" t="str">
        <f>IF(P164=1,"Bitte Dateneingabe vornehmen","")</f>
        <v/>
      </c>
      <c r="K164" s="178"/>
      <c r="L164" s="178"/>
      <c r="M164" s="178">
        <f>MAX(M148:M163)</f>
        <v>0</v>
      </c>
      <c r="O164" s="36">
        <f>M164</f>
        <v>0</v>
      </c>
      <c r="P164" s="36">
        <f>IF(AND(SUM(F164:G164)=0,SUM(F197:G198)&gt;0),1,0)</f>
        <v>0</v>
      </c>
      <c r="Q164" s="238" t="str">
        <f>F164</f>
        <v>Dateneingabe fehlt</v>
      </c>
    </row>
    <row r="165" spans="2:17" ht="24.75" thickBot="1" x14ac:dyDescent="0.3">
      <c r="F165" s="227" t="s">
        <v>2019</v>
      </c>
      <c r="G165" s="82"/>
    </row>
    <row r="166" spans="2:17" ht="15.75" thickTop="1" x14ac:dyDescent="0.25">
      <c r="F166" s="175"/>
      <c r="G166" s="82"/>
    </row>
    <row r="167" spans="2:17" x14ac:dyDescent="0.25">
      <c r="E167" s="11" t="s">
        <v>2180</v>
      </c>
      <c r="G167" s="82"/>
    </row>
    <row r="168" spans="2:17" ht="15" customHeight="1" x14ac:dyDescent="0.25">
      <c r="E168" s="468" t="s">
        <v>1915</v>
      </c>
      <c r="F168" s="468"/>
      <c r="G168" s="141"/>
      <c r="I168" s="404" t="s">
        <v>1985</v>
      </c>
    </row>
    <row r="169" spans="2:17" x14ac:dyDescent="0.25">
      <c r="E169" s="468" t="s">
        <v>1916</v>
      </c>
      <c r="F169" s="468"/>
      <c r="G169" s="141"/>
      <c r="I169" s="404"/>
    </row>
    <row r="170" spans="2:17" x14ac:dyDescent="0.25">
      <c r="E170" s="468" t="s">
        <v>2260</v>
      </c>
      <c r="F170" s="468"/>
      <c r="G170" s="141"/>
      <c r="I170" s="404"/>
    </row>
    <row r="171" spans="2:17" x14ac:dyDescent="0.25">
      <c r="E171" s="59" t="s">
        <v>1918</v>
      </c>
      <c r="F171" s="59"/>
      <c r="G171" s="221">
        <f>SUM(G168:G170)</f>
        <v>0</v>
      </c>
      <c r="H171" s="176">
        <v>2</v>
      </c>
    </row>
    <row r="172" spans="2:17" ht="6.95" customHeight="1" x14ac:dyDescent="0.25">
      <c r="G172" s="222"/>
    </row>
    <row r="173" spans="2:17" x14ac:dyDescent="0.25">
      <c r="E173" s="60"/>
      <c r="G173" s="223" t="str">
        <f>IFERROR(G164-G171,"Dateneingabe fehlt")</f>
        <v>Dateneingabe fehlt</v>
      </c>
    </row>
    <row r="174" spans="2:17" ht="6.95" customHeight="1" thickBot="1" x14ac:dyDescent="0.3"/>
    <row r="175" spans="2:17" ht="15.75" thickTop="1" x14ac:dyDescent="0.25">
      <c r="E175" s="224" t="s">
        <v>2063</v>
      </c>
      <c r="F175" s="225" t="str">
        <f>IFERROR(G173/F164,"Dateneingabe fehlt")</f>
        <v>Dateneingabe fehlt</v>
      </c>
      <c r="G175" s="226" t="s">
        <v>1914</v>
      </c>
    </row>
    <row r="176" spans="2:17" ht="15.75" thickBot="1" x14ac:dyDescent="0.3">
      <c r="E176" s="465" t="s">
        <v>2019</v>
      </c>
      <c r="F176" s="466"/>
      <c r="G176" s="467"/>
    </row>
    <row r="177" spans="2:13" ht="15.75" thickTop="1" x14ac:dyDescent="0.25">
      <c r="B177" s="14"/>
      <c r="C177" s="14"/>
      <c r="D177" s="14"/>
      <c r="E177" s="14"/>
      <c r="F177" s="14"/>
      <c r="G177" s="236"/>
      <c r="H177" s="14"/>
    </row>
    <row r="179" spans="2:13" ht="15" customHeight="1" x14ac:dyDescent="0.25">
      <c r="B179" s="452" t="s">
        <v>2241</v>
      </c>
      <c r="C179" s="470" t="s">
        <v>1912</v>
      </c>
      <c r="D179" s="472" t="s">
        <v>1911</v>
      </c>
      <c r="E179" s="470" t="s">
        <v>1943</v>
      </c>
      <c r="F179" s="472" t="s">
        <v>2181</v>
      </c>
      <c r="G179" s="476" t="s">
        <v>2182</v>
      </c>
    </row>
    <row r="180" spans="2:13" x14ac:dyDescent="0.25">
      <c r="B180" s="469"/>
      <c r="C180" s="471"/>
      <c r="D180" s="473"/>
      <c r="E180" s="471"/>
      <c r="F180" s="471"/>
      <c r="G180" s="477"/>
    </row>
    <row r="181" spans="2:13" x14ac:dyDescent="0.25">
      <c r="B181" s="166"/>
      <c r="C181" s="167">
        <v>2022</v>
      </c>
      <c r="D181" s="118"/>
      <c r="E181" s="119"/>
      <c r="F181" s="120"/>
      <c r="G181" s="121"/>
      <c r="I181" s="347" t="str">
        <f>IF(M181=1,"Dateneingabe unvollständig","")</f>
        <v/>
      </c>
      <c r="K181" s="5">
        <f>IF(AND(SUM(F181:G181)&lt;&gt;0,OR(B181="",D181="",E181="")),1,IF(AND(SUM(F181:G181)=0,OR(B181&lt;&gt;"",D181&lt;&gt;"",E181&lt;&gt;"")),1,0))</f>
        <v>0</v>
      </c>
      <c r="L181" s="5">
        <f>IF(OR(AND(F181&lt;&gt;0,G181=0),AND(G181&lt;&gt;0,F181=0)),1,0)</f>
        <v>0</v>
      </c>
      <c r="M181" s="5">
        <f>MAX(K181:L181)</f>
        <v>0</v>
      </c>
    </row>
    <row r="182" spans="2:13" x14ac:dyDescent="0.25">
      <c r="B182" s="166"/>
      <c r="C182" s="167">
        <v>2022</v>
      </c>
      <c r="D182" s="118"/>
      <c r="E182" s="119"/>
      <c r="F182" s="120"/>
      <c r="G182" s="121"/>
      <c r="I182" s="347" t="str">
        <f t="shared" ref="I182:I196" si="20">IF(M182=1,"Dateneingabe unvollständig","")</f>
        <v/>
      </c>
      <c r="K182" s="5">
        <f t="shared" ref="K182:K190" si="21">IF(AND(SUM(F182:G182)&lt;&gt;0,OR(B182="",D182="",E182="")),1,IF(AND(SUM(F182:G182)=0,OR(B182&lt;&gt;"",D182&lt;&gt;"",E182&lt;&gt;"")),1,0))</f>
        <v>0</v>
      </c>
      <c r="L182" s="5">
        <f t="shared" ref="L182:L196" si="22">IF(OR(AND(F182&lt;&gt;0,G182=0),AND(G182&lt;&gt;0,F182=0)),1,0)</f>
        <v>0</v>
      </c>
      <c r="M182" s="5">
        <f t="shared" ref="M182:M196" si="23">MAX(K182:L182)</f>
        <v>0</v>
      </c>
    </row>
    <row r="183" spans="2:13" x14ac:dyDescent="0.25">
      <c r="B183" s="166"/>
      <c r="C183" s="167">
        <v>2022</v>
      </c>
      <c r="D183" s="118"/>
      <c r="E183" s="119"/>
      <c r="F183" s="120"/>
      <c r="G183" s="121"/>
      <c r="I183" s="347" t="str">
        <f t="shared" si="20"/>
        <v/>
      </c>
      <c r="K183" s="5">
        <f t="shared" si="21"/>
        <v>0</v>
      </c>
      <c r="L183" s="5">
        <f t="shared" si="22"/>
        <v>0</v>
      </c>
      <c r="M183" s="5">
        <f t="shared" si="23"/>
        <v>0</v>
      </c>
    </row>
    <row r="184" spans="2:13" x14ac:dyDescent="0.25">
      <c r="B184" s="166"/>
      <c r="C184" s="167">
        <v>2022</v>
      </c>
      <c r="D184" s="118"/>
      <c r="E184" s="119"/>
      <c r="F184" s="120"/>
      <c r="G184" s="121"/>
      <c r="I184" s="347" t="str">
        <f t="shared" si="20"/>
        <v/>
      </c>
      <c r="K184" s="5">
        <f t="shared" si="21"/>
        <v>0</v>
      </c>
      <c r="L184" s="5">
        <f t="shared" si="22"/>
        <v>0</v>
      </c>
      <c r="M184" s="5">
        <f t="shared" si="23"/>
        <v>0</v>
      </c>
    </row>
    <row r="185" spans="2:13" x14ac:dyDescent="0.25">
      <c r="B185" s="166"/>
      <c r="C185" s="167">
        <v>2022</v>
      </c>
      <c r="D185" s="118"/>
      <c r="E185" s="119"/>
      <c r="F185" s="120"/>
      <c r="G185" s="121"/>
      <c r="I185" s="347" t="str">
        <f t="shared" si="20"/>
        <v/>
      </c>
      <c r="K185" s="5">
        <f t="shared" si="21"/>
        <v>0</v>
      </c>
      <c r="L185" s="5">
        <f t="shared" si="22"/>
        <v>0</v>
      </c>
      <c r="M185" s="5">
        <f t="shared" si="23"/>
        <v>0</v>
      </c>
    </row>
    <row r="186" spans="2:13" x14ac:dyDescent="0.25">
      <c r="B186" s="166"/>
      <c r="C186" s="167">
        <v>2022</v>
      </c>
      <c r="D186" s="118"/>
      <c r="E186" s="119"/>
      <c r="F186" s="120"/>
      <c r="G186" s="121"/>
      <c r="I186" s="347" t="str">
        <f t="shared" si="20"/>
        <v/>
      </c>
      <c r="K186" s="5">
        <f t="shared" si="21"/>
        <v>0</v>
      </c>
      <c r="L186" s="5">
        <f t="shared" si="22"/>
        <v>0</v>
      </c>
      <c r="M186" s="5">
        <f t="shared" si="23"/>
        <v>0</v>
      </c>
    </row>
    <row r="187" spans="2:13" x14ac:dyDescent="0.25">
      <c r="B187" s="166"/>
      <c r="C187" s="167">
        <v>2022</v>
      </c>
      <c r="D187" s="118"/>
      <c r="E187" s="119"/>
      <c r="F187" s="120"/>
      <c r="G187" s="121"/>
      <c r="I187" s="347" t="str">
        <f t="shared" si="20"/>
        <v/>
      </c>
      <c r="K187" s="5">
        <f t="shared" si="21"/>
        <v>0</v>
      </c>
      <c r="L187" s="5">
        <f t="shared" si="22"/>
        <v>0</v>
      </c>
      <c r="M187" s="5">
        <f t="shared" si="23"/>
        <v>0</v>
      </c>
    </row>
    <row r="188" spans="2:13" x14ac:dyDescent="0.25">
      <c r="B188" s="166"/>
      <c r="C188" s="167">
        <v>2022</v>
      </c>
      <c r="D188" s="118"/>
      <c r="E188" s="119"/>
      <c r="F188" s="120"/>
      <c r="G188" s="121"/>
      <c r="I188" s="347" t="str">
        <f t="shared" si="20"/>
        <v/>
      </c>
      <c r="K188" s="5">
        <f t="shared" si="21"/>
        <v>0</v>
      </c>
      <c r="L188" s="5">
        <f t="shared" si="22"/>
        <v>0</v>
      </c>
      <c r="M188" s="5">
        <f t="shared" si="23"/>
        <v>0</v>
      </c>
    </row>
    <row r="189" spans="2:13" x14ac:dyDescent="0.25">
      <c r="B189" s="166"/>
      <c r="C189" s="167">
        <v>2022</v>
      </c>
      <c r="D189" s="118"/>
      <c r="E189" s="119"/>
      <c r="F189" s="120"/>
      <c r="G189" s="121"/>
      <c r="I189" s="347" t="str">
        <f t="shared" si="20"/>
        <v/>
      </c>
      <c r="K189" s="5">
        <f t="shared" si="21"/>
        <v>0</v>
      </c>
      <c r="L189" s="5">
        <f t="shared" si="22"/>
        <v>0</v>
      </c>
      <c r="M189" s="5">
        <f t="shared" si="23"/>
        <v>0</v>
      </c>
    </row>
    <row r="190" spans="2:13" x14ac:dyDescent="0.25">
      <c r="B190" s="166"/>
      <c r="C190" s="167">
        <v>2022</v>
      </c>
      <c r="D190" s="118"/>
      <c r="E190" s="119"/>
      <c r="F190" s="120"/>
      <c r="G190" s="121"/>
      <c r="I190" s="347" t="str">
        <f t="shared" si="20"/>
        <v/>
      </c>
      <c r="K190" s="5">
        <f t="shared" si="21"/>
        <v>0</v>
      </c>
      <c r="L190" s="5">
        <f t="shared" si="22"/>
        <v>0</v>
      </c>
      <c r="M190" s="5">
        <f t="shared" si="23"/>
        <v>0</v>
      </c>
    </row>
    <row r="191" spans="2:13" x14ac:dyDescent="0.25">
      <c r="B191" s="168" t="s">
        <v>1974</v>
      </c>
      <c r="C191" s="167">
        <v>2022</v>
      </c>
      <c r="D191" s="459" t="s">
        <v>2020</v>
      </c>
      <c r="E191" s="460"/>
      <c r="F191" s="120"/>
      <c r="G191" s="121"/>
      <c r="I191" s="347" t="str">
        <f t="shared" si="20"/>
        <v/>
      </c>
      <c r="L191" s="5">
        <f t="shared" si="22"/>
        <v>0</v>
      </c>
      <c r="M191" s="5">
        <f t="shared" si="23"/>
        <v>0</v>
      </c>
    </row>
    <row r="192" spans="2:13" x14ac:dyDescent="0.25">
      <c r="B192" s="168" t="s">
        <v>1955</v>
      </c>
      <c r="C192" s="167">
        <v>2022</v>
      </c>
      <c r="D192" s="461"/>
      <c r="E192" s="462"/>
      <c r="F192" s="120"/>
      <c r="G192" s="121"/>
      <c r="I192" s="347" t="str">
        <f t="shared" si="20"/>
        <v/>
      </c>
      <c r="L192" s="5">
        <f t="shared" si="22"/>
        <v>0</v>
      </c>
      <c r="M192" s="5">
        <f t="shared" si="23"/>
        <v>0</v>
      </c>
    </row>
    <row r="193" spans="2:17" x14ac:dyDescent="0.25">
      <c r="B193" s="168" t="s">
        <v>1956</v>
      </c>
      <c r="C193" s="167">
        <v>2022</v>
      </c>
      <c r="D193" s="461"/>
      <c r="E193" s="462"/>
      <c r="F193" s="120"/>
      <c r="G193" s="121"/>
      <c r="I193" s="347" t="str">
        <f t="shared" si="20"/>
        <v/>
      </c>
      <c r="L193" s="5">
        <f t="shared" si="22"/>
        <v>0</v>
      </c>
      <c r="M193" s="5">
        <f t="shared" si="23"/>
        <v>0</v>
      </c>
    </row>
    <row r="194" spans="2:17" x14ac:dyDescent="0.25">
      <c r="B194" s="168" t="s">
        <v>1957</v>
      </c>
      <c r="C194" s="167">
        <v>2022</v>
      </c>
      <c r="D194" s="461"/>
      <c r="E194" s="462"/>
      <c r="F194" s="120"/>
      <c r="G194" s="121"/>
      <c r="I194" s="347" t="str">
        <f t="shared" si="20"/>
        <v/>
      </c>
      <c r="L194" s="5">
        <f t="shared" si="22"/>
        <v>0</v>
      </c>
      <c r="M194" s="5">
        <f t="shared" si="23"/>
        <v>0</v>
      </c>
    </row>
    <row r="195" spans="2:17" x14ac:dyDescent="0.25">
      <c r="B195" s="168" t="s">
        <v>1958</v>
      </c>
      <c r="C195" s="167">
        <v>2022</v>
      </c>
      <c r="D195" s="461"/>
      <c r="E195" s="462"/>
      <c r="F195" s="120"/>
      <c r="G195" s="121"/>
      <c r="I195" s="347" t="str">
        <f t="shared" si="20"/>
        <v/>
      </c>
      <c r="L195" s="5">
        <f t="shared" si="22"/>
        <v>0</v>
      </c>
      <c r="M195" s="5">
        <f t="shared" si="23"/>
        <v>0</v>
      </c>
    </row>
    <row r="196" spans="2:17" ht="15.75" thickBot="1" x14ac:dyDescent="0.3">
      <c r="B196" s="168" t="s">
        <v>1959</v>
      </c>
      <c r="C196" s="167">
        <v>2022</v>
      </c>
      <c r="D196" s="463"/>
      <c r="E196" s="464"/>
      <c r="F196" s="169"/>
      <c r="G196" s="121"/>
      <c r="I196" s="347" t="str">
        <f t="shared" si="20"/>
        <v/>
      </c>
      <c r="L196" s="5">
        <f t="shared" si="22"/>
        <v>0</v>
      </c>
      <c r="M196" s="5">
        <f t="shared" si="23"/>
        <v>0</v>
      </c>
    </row>
    <row r="197" spans="2:17" ht="15.75" thickTop="1" x14ac:dyDescent="0.25">
      <c r="E197" s="2" t="s">
        <v>1917</v>
      </c>
      <c r="F197" s="177" t="str">
        <f>IF(OR(M197=1,SUM(F181:F196)=0),"Dateneingabe fehlt",SUM(F181:F196))</f>
        <v>Dateneingabe fehlt</v>
      </c>
      <c r="G197" s="122" t="str">
        <f>IF(OR(M197=1,SUM(G181:G196)=0),"Dateneingabe fehlt",SUM(G181:G196))</f>
        <v>Dateneingabe fehlt</v>
      </c>
      <c r="H197" s="176">
        <v>1</v>
      </c>
      <c r="I197" s="346" t="str">
        <f>IF(P197=1,"Bitte Dateneingabe vornehmen","")</f>
        <v/>
      </c>
      <c r="K197" s="178"/>
      <c r="L197" s="178"/>
      <c r="M197" s="178">
        <f>MAX(M181:M196)</f>
        <v>0</v>
      </c>
      <c r="O197" s="36">
        <f>M197</f>
        <v>0</v>
      </c>
      <c r="P197" s="36">
        <f>IF(AND(SUM(F197:G198)=0,SUM(F164:G164)&gt;0),1,0)</f>
        <v>0</v>
      </c>
      <c r="Q197" s="238" t="str">
        <f>F197</f>
        <v>Dateneingabe fehlt</v>
      </c>
    </row>
    <row r="198" spans="2:17" ht="24.75" thickBot="1" x14ac:dyDescent="0.3">
      <c r="F198" s="174" t="s">
        <v>2019</v>
      </c>
      <c r="G198" s="82"/>
    </row>
    <row r="199" spans="2:17" ht="15.75" thickTop="1" x14ac:dyDescent="0.25">
      <c r="F199" s="175"/>
      <c r="G199" s="82"/>
    </row>
    <row r="200" spans="2:17" x14ac:dyDescent="0.25">
      <c r="E200" s="11" t="s">
        <v>2180</v>
      </c>
      <c r="G200" s="82"/>
    </row>
    <row r="201" spans="2:17" ht="15" customHeight="1" x14ac:dyDescent="0.25">
      <c r="E201" s="468" t="s">
        <v>1915</v>
      </c>
      <c r="F201" s="468"/>
      <c r="G201" s="141"/>
      <c r="I201" s="404" t="s">
        <v>1985</v>
      </c>
    </row>
    <row r="202" spans="2:17" x14ac:dyDescent="0.25">
      <c r="E202" s="468" t="s">
        <v>1916</v>
      </c>
      <c r="F202" s="468"/>
      <c r="G202" s="141"/>
      <c r="I202" s="404"/>
    </row>
    <row r="203" spans="2:17" x14ac:dyDescent="0.25">
      <c r="E203" s="468" t="s">
        <v>2260</v>
      </c>
      <c r="F203" s="468"/>
      <c r="G203" s="141"/>
      <c r="I203" s="404"/>
    </row>
    <row r="204" spans="2:17" x14ac:dyDescent="0.25">
      <c r="E204" s="59" t="s">
        <v>1918</v>
      </c>
      <c r="F204" s="59"/>
      <c r="G204" s="221">
        <f>SUM(G201:G203)</f>
        <v>0</v>
      </c>
      <c r="H204" s="176">
        <v>2</v>
      </c>
    </row>
    <row r="205" spans="2:17" ht="6.95" customHeight="1" x14ac:dyDescent="0.25">
      <c r="G205" s="222"/>
    </row>
    <row r="206" spans="2:17" x14ac:dyDescent="0.25">
      <c r="E206" s="60"/>
      <c r="G206" s="223" t="str">
        <f>IFERROR(G197-G204,"Dateneingabe fehlt")</f>
        <v>Dateneingabe fehlt</v>
      </c>
    </row>
    <row r="207" spans="2:17" ht="6.95" customHeight="1" thickBot="1" x14ac:dyDescent="0.3">
      <c r="E207" s="60"/>
      <c r="G207" s="83"/>
    </row>
    <row r="208" spans="2:17" ht="15.75" thickTop="1" x14ac:dyDescent="0.25">
      <c r="E208" s="224" t="s">
        <v>2064</v>
      </c>
      <c r="F208" s="225" t="str">
        <f>IFERROR(G206/F197,"Dateneingabe fehlt")</f>
        <v>Dateneingabe fehlt</v>
      </c>
      <c r="G208" s="226" t="s">
        <v>1914</v>
      </c>
    </row>
    <row r="209" spans="1:15" ht="15.75" thickBot="1" x14ac:dyDescent="0.3">
      <c r="E209" s="465" t="s">
        <v>2019</v>
      </c>
      <c r="F209" s="466"/>
      <c r="G209" s="467"/>
    </row>
    <row r="210" spans="1:15" ht="16.5" thickTop="1" thickBot="1" x14ac:dyDescent="0.3">
      <c r="A210" s="61"/>
      <c r="B210" s="61"/>
      <c r="C210" s="61"/>
      <c r="D210" s="61"/>
      <c r="E210" s="61"/>
      <c r="F210" s="61"/>
      <c r="G210" s="84"/>
      <c r="H210" s="61"/>
    </row>
    <row r="212" spans="1:15" ht="15.75" x14ac:dyDescent="0.25">
      <c r="A212" s="12" t="s">
        <v>1908</v>
      </c>
      <c r="C212" s="11"/>
      <c r="D212" s="2" t="s">
        <v>1945</v>
      </c>
      <c r="E212" s="210"/>
      <c r="F212" s="23" t="s">
        <v>1919</v>
      </c>
      <c r="G212" s="211"/>
      <c r="I212" s="346" t="str">
        <f>IF(O212=1,"Bitte Dateneingabe vornehmen","")</f>
        <v/>
      </c>
      <c r="K212" s="5">
        <f>IF(AND(K234=1,OR(E212="",G212="",AND(L212=1,G214=""))),1,0)</f>
        <v>0</v>
      </c>
      <c r="L212" s="5">
        <f>IF(G212="Sonstige",1,0)</f>
        <v>0</v>
      </c>
      <c r="M212" s="5">
        <f>IF(OR(AND(E212&lt;&gt;0,G212=""),AND(G212&lt;&gt;0,E212="")),1,0)</f>
        <v>0</v>
      </c>
      <c r="N212" s="5">
        <f>IF(AND(E212="",OR(SUM(F234:G234)&gt;0,SUM(F273:G273)&gt;0)),1,0)</f>
        <v>0</v>
      </c>
      <c r="O212" s="36">
        <f>MAX(K212,M212,N212)</f>
        <v>0</v>
      </c>
    </row>
    <row r="213" spans="1:15" ht="6.95" customHeight="1" x14ac:dyDescent="0.25">
      <c r="A213" s="12"/>
      <c r="C213" s="11"/>
      <c r="G213" s="85"/>
    </row>
    <row r="214" spans="1:15" ht="15.75" x14ac:dyDescent="0.25">
      <c r="A214" s="12"/>
      <c r="C214" s="11"/>
      <c r="F214" s="23" t="str">
        <f>IF(L212=1,"Sonstige:","")</f>
        <v/>
      </c>
      <c r="G214" s="348"/>
      <c r="I214" s="346" t="str">
        <f>IF(O214=1,"Bitte Dateneingabe vornehmen","")</f>
        <v/>
      </c>
      <c r="L214" s="5">
        <f>IF(L212=1,G214,G212)</f>
        <v>0</v>
      </c>
      <c r="M214" s="5">
        <f>IF(AND(L212=1,G214=""),1,0)</f>
        <v>0</v>
      </c>
      <c r="O214" s="36">
        <f>M214</f>
        <v>0</v>
      </c>
    </row>
    <row r="216" spans="1:15" ht="15" customHeight="1" x14ac:dyDescent="0.25">
      <c r="B216" s="452" t="s">
        <v>2242</v>
      </c>
      <c r="C216" s="470" t="s">
        <v>1912</v>
      </c>
      <c r="D216" s="472" t="s">
        <v>1911</v>
      </c>
      <c r="E216" s="470" t="s">
        <v>2013</v>
      </c>
      <c r="F216" s="472" t="s">
        <v>2183</v>
      </c>
      <c r="G216" s="476" t="s">
        <v>2184</v>
      </c>
    </row>
    <row r="217" spans="1:15" x14ac:dyDescent="0.25">
      <c r="B217" s="469"/>
      <c r="C217" s="471"/>
      <c r="D217" s="473"/>
      <c r="E217" s="471"/>
      <c r="F217" s="471"/>
      <c r="G217" s="477"/>
    </row>
    <row r="218" spans="1:15" x14ac:dyDescent="0.25">
      <c r="B218" s="166"/>
      <c r="C218" s="167">
        <v>2021</v>
      </c>
      <c r="D218" s="118"/>
      <c r="E218" s="119"/>
      <c r="F218" s="258"/>
      <c r="G218" s="121"/>
      <c r="I218" s="347" t="str">
        <f>IF(M218=1,"Dateneingabe unvollständig","")</f>
        <v/>
      </c>
      <c r="K218" s="5">
        <f>IF(AND(SUM(F218:G218)&lt;&gt;0,OR(B218="",D218="",E218="")),1,IF(AND(SUM(F218:G218)=0,OR(B218&lt;&gt;"",D218&lt;&gt;"",E218&lt;&gt;"")),1,0))</f>
        <v>0</v>
      </c>
      <c r="L218" s="5">
        <f>IF(OR(AND(F218&lt;&gt;0,G218=0),AND(G218&lt;&gt;0,F218=0)),1,0)</f>
        <v>0</v>
      </c>
      <c r="M218" s="5">
        <f>MAX(K218:L218)</f>
        <v>0</v>
      </c>
    </row>
    <row r="219" spans="1:15" x14ac:dyDescent="0.25">
      <c r="B219" s="166"/>
      <c r="C219" s="167">
        <v>2021</v>
      </c>
      <c r="D219" s="118"/>
      <c r="E219" s="119"/>
      <c r="F219" s="258"/>
      <c r="G219" s="121"/>
      <c r="I219" s="347" t="str">
        <f t="shared" ref="I219:I233" si="24">IF(M219=1,"Dateneingabe unvollständig","")</f>
        <v/>
      </c>
      <c r="K219" s="5">
        <f t="shared" ref="K219:K227" si="25">IF(AND(SUM(F219:G219)&lt;&gt;0,OR(B219="",D219="",E219="")),1,IF(AND(SUM(F219:G219)=0,OR(B219&lt;&gt;"",D219&lt;&gt;"",E219&lt;&gt;"")),1,0))</f>
        <v>0</v>
      </c>
      <c r="L219" s="5">
        <f t="shared" ref="L219:L233" si="26">IF(OR(AND(F219&lt;&gt;0,G219=0),AND(G219&lt;&gt;0,F219=0)),1,0)</f>
        <v>0</v>
      </c>
      <c r="M219" s="5">
        <f t="shared" ref="M219:M233" si="27">MAX(K219:L219)</f>
        <v>0</v>
      </c>
    </row>
    <row r="220" spans="1:15" x14ac:dyDescent="0.25">
      <c r="B220" s="166"/>
      <c r="C220" s="167">
        <v>2021</v>
      </c>
      <c r="D220" s="118"/>
      <c r="E220" s="119"/>
      <c r="F220" s="258"/>
      <c r="G220" s="121"/>
      <c r="I220" s="347" t="str">
        <f t="shared" si="24"/>
        <v/>
      </c>
      <c r="K220" s="5">
        <f t="shared" si="25"/>
        <v>0</v>
      </c>
      <c r="L220" s="5">
        <f t="shared" si="26"/>
        <v>0</v>
      </c>
      <c r="M220" s="5">
        <f t="shared" si="27"/>
        <v>0</v>
      </c>
    </row>
    <row r="221" spans="1:15" x14ac:dyDescent="0.25">
      <c r="B221" s="166"/>
      <c r="C221" s="167">
        <v>2021</v>
      </c>
      <c r="D221" s="118"/>
      <c r="E221" s="119"/>
      <c r="F221" s="258"/>
      <c r="G221" s="121"/>
      <c r="I221" s="347" t="str">
        <f t="shared" si="24"/>
        <v/>
      </c>
      <c r="K221" s="5">
        <f t="shared" si="25"/>
        <v>0</v>
      </c>
      <c r="L221" s="5">
        <f t="shared" si="26"/>
        <v>0</v>
      </c>
      <c r="M221" s="5">
        <f t="shared" si="27"/>
        <v>0</v>
      </c>
    </row>
    <row r="222" spans="1:15" x14ac:dyDescent="0.25">
      <c r="B222" s="166"/>
      <c r="C222" s="167">
        <v>2021</v>
      </c>
      <c r="D222" s="118"/>
      <c r="E222" s="119"/>
      <c r="F222" s="258"/>
      <c r="G222" s="121"/>
      <c r="I222" s="347" t="str">
        <f t="shared" si="24"/>
        <v/>
      </c>
      <c r="K222" s="5">
        <f t="shared" si="25"/>
        <v>0</v>
      </c>
      <c r="L222" s="5">
        <f t="shared" si="26"/>
        <v>0</v>
      </c>
      <c r="M222" s="5">
        <f t="shared" si="27"/>
        <v>0</v>
      </c>
    </row>
    <row r="223" spans="1:15" x14ac:dyDescent="0.25">
      <c r="B223" s="166"/>
      <c r="C223" s="167">
        <v>2021</v>
      </c>
      <c r="D223" s="118"/>
      <c r="E223" s="119"/>
      <c r="F223" s="258"/>
      <c r="G223" s="121"/>
      <c r="I223" s="347" t="str">
        <f t="shared" si="24"/>
        <v/>
      </c>
      <c r="K223" s="5">
        <f t="shared" si="25"/>
        <v>0</v>
      </c>
      <c r="L223" s="5">
        <f t="shared" si="26"/>
        <v>0</v>
      </c>
      <c r="M223" s="5">
        <f t="shared" si="27"/>
        <v>0</v>
      </c>
    </row>
    <row r="224" spans="1:15" x14ac:dyDescent="0.25">
      <c r="B224" s="166"/>
      <c r="C224" s="167">
        <v>2021</v>
      </c>
      <c r="D224" s="118"/>
      <c r="E224" s="119"/>
      <c r="F224" s="258"/>
      <c r="G224" s="121"/>
      <c r="I224" s="347" t="str">
        <f t="shared" si="24"/>
        <v/>
      </c>
      <c r="K224" s="5">
        <f t="shared" si="25"/>
        <v>0</v>
      </c>
      <c r="L224" s="5">
        <f t="shared" si="26"/>
        <v>0</v>
      </c>
      <c r="M224" s="5">
        <f t="shared" si="27"/>
        <v>0</v>
      </c>
    </row>
    <row r="225" spans="2:17" x14ac:dyDescent="0.25">
      <c r="B225" s="166"/>
      <c r="C225" s="167">
        <v>2021</v>
      </c>
      <c r="D225" s="118"/>
      <c r="E225" s="119"/>
      <c r="F225" s="258"/>
      <c r="G225" s="121"/>
      <c r="I225" s="347" t="str">
        <f t="shared" si="24"/>
        <v/>
      </c>
      <c r="K225" s="5">
        <f t="shared" si="25"/>
        <v>0</v>
      </c>
      <c r="L225" s="5">
        <f t="shared" si="26"/>
        <v>0</v>
      </c>
      <c r="M225" s="5">
        <f t="shared" si="27"/>
        <v>0</v>
      </c>
    </row>
    <row r="226" spans="2:17" x14ac:dyDescent="0.25">
      <c r="B226" s="166"/>
      <c r="C226" s="167">
        <v>2021</v>
      </c>
      <c r="D226" s="118"/>
      <c r="E226" s="119"/>
      <c r="F226" s="258"/>
      <c r="G226" s="121"/>
      <c r="I226" s="347" t="str">
        <f t="shared" si="24"/>
        <v/>
      </c>
      <c r="K226" s="5">
        <f t="shared" si="25"/>
        <v>0</v>
      </c>
      <c r="L226" s="5">
        <f t="shared" si="26"/>
        <v>0</v>
      </c>
      <c r="M226" s="5">
        <f t="shared" si="27"/>
        <v>0</v>
      </c>
    </row>
    <row r="227" spans="2:17" x14ac:dyDescent="0.25">
      <c r="B227" s="166"/>
      <c r="C227" s="167">
        <v>2021</v>
      </c>
      <c r="D227" s="118"/>
      <c r="E227" s="119"/>
      <c r="F227" s="258"/>
      <c r="G227" s="121"/>
      <c r="I227" s="347" t="str">
        <f t="shared" si="24"/>
        <v/>
      </c>
      <c r="K227" s="5">
        <f t="shared" si="25"/>
        <v>0</v>
      </c>
      <c r="L227" s="5">
        <f t="shared" si="26"/>
        <v>0</v>
      </c>
      <c r="M227" s="5">
        <f t="shared" si="27"/>
        <v>0</v>
      </c>
    </row>
    <row r="228" spans="2:17" x14ac:dyDescent="0.25">
      <c r="B228" s="168" t="s">
        <v>1974</v>
      </c>
      <c r="C228" s="167">
        <v>2021</v>
      </c>
      <c r="D228" s="459" t="s">
        <v>2020</v>
      </c>
      <c r="E228" s="460"/>
      <c r="F228" s="258"/>
      <c r="G228" s="121"/>
      <c r="I228" s="347" t="str">
        <f t="shared" si="24"/>
        <v/>
      </c>
      <c r="L228" s="5">
        <f t="shared" si="26"/>
        <v>0</v>
      </c>
      <c r="M228" s="5">
        <f t="shared" si="27"/>
        <v>0</v>
      </c>
    </row>
    <row r="229" spans="2:17" x14ac:dyDescent="0.25">
      <c r="B229" s="168" t="s">
        <v>1955</v>
      </c>
      <c r="C229" s="167">
        <v>2021</v>
      </c>
      <c r="D229" s="461"/>
      <c r="E229" s="462"/>
      <c r="F229" s="258"/>
      <c r="G229" s="121"/>
      <c r="I229" s="347" t="str">
        <f t="shared" si="24"/>
        <v/>
      </c>
      <c r="L229" s="5">
        <f t="shared" si="26"/>
        <v>0</v>
      </c>
      <c r="M229" s="5">
        <f t="shared" si="27"/>
        <v>0</v>
      </c>
    </row>
    <row r="230" spans="2:17" x14ac:dyDescent="0.25">
      <c r="B230" s="168" t="s">
        <v>1956</v>
      </c>
      <c r="C230" s="167">
        <v>2021</v>
      </c>
      <c r="D230" s="461"/>
      <c r="E230" s="462"/>
      <c r="F230" s="258"/>
      <c r="G230" s="121"/>
      <c r="I230" s="347" t="str">
        <f t="shared" si="24"/>
        <v/>
      </c>
      <c r="L230" s="5">
        <f t="shared" si="26"/>
        <v>0</v>
      </c>
      <c r="M230" s="5">
        <f t="shared" si="27"/>
        <v>0</v>
      </c>
    </row>
    <row r="231" spans="2:17" x14ac:dyDescent="0.25">
      <c r="B231" s="168" t="s">
        <v>1957</v>
      </c>
      <c r="C231" s="167">
        <v>2021</v>
      </c>
      <c r="D231" s="461"/>
      <c r="E231" s="462"/>
      <c r="F231" s="258"/>
      <c r="G231" s="121"/>
      <c r="I231" s="347" t="str">
        <f t="shared" si="24"/>
        <v/>
      </c>
      <c r="L231" s="5">
        <f t="shared" si="26"/>
        <v>0</v>
      </c>
      <c r="M231" s="5">
        <f t="shared" si="27"/>
        <v>0</v>
      </c>
    </row>
    <row r="232" spans="2:17" x14ac:dyDescent="0.25">
      <c r="B232" s="168" t="s">
        <v>1958</v>
      </c>
      <c r="C232" s="167">
        <v>2021</v>
      </c>
      <c r="D232" s="461"/>
      <c r="E232" s="462"/>
      <c r="F232" s="258"/>
      <c r="G232" s="121"/>
      <c r="I232" s="347" t="str">
        <f t="shared" si="24"/>
        <v/>
      </c>
      <c r="L232" s="5">
        <f t="shared" si="26"/>
        <v>0</v>
      </c>
      <c r="M232" s="5">
        <f t="shared" si="27"/>
        <v>0</v>
      </c>
    </row>
    <row r="233" spans="2:17" x14ac:dyDescent="0.25">
      <c r="B233" s="168" t="s">
        <v>1959</v>
      </c>
      <c r="C233" s="167">
        <v>2021</v>
      </c>
      <c r="D233" s="463"/>
      <c r="E233" s="464"/>
      <c r="F233" s="258"/>
      <c r="G233" s="121"/>
      <c r="I233" s="347" t="str">
        <f t="shared" si="24"/>
        <v/>
      </c>
      <c r="L233" s="5">
        <f t="shared" si="26"/>
        <v>0</v>
      </c>
      <c r="M233" s="5">
        <f t="shared" si="27"/>
        <v>0</v>
      </c>
    </row>
    <row r="234" spans="2:17" x14ac:dyDescent="0.25">
      <c r="E234" s="2" t="s">
        <v>1917</v>
      </c>
      <c r="F234" s="123" t="str">
        <f>IF(OR($M$234=1,SUM(F218:F233)=0),"Dateneingabe fehlt",SUM(F218:F233))</f>
        <v>Dateneingabe fehlt</v>
      </c>
      <c r="G234" s="180" t="str">
        <f>IF(OR($M$234=1,SUM(G218:G233)=0),"Dateneingabe fehlt",SUM(G218:G233))</f>
        <v>Dateneingabe fehlt</v>
      </c>
      <c r="H234" s="176">
        <v>1</v>
      </c>
      <c r="I234" s="346" t="str">
        <f>IF(P236=1,"Bitte Dateneingabe vornehmen","")</f>
        <v/>
      </c>
      <c r="K234" s="178"/>
      <c r="L234" s="178">
        <f>IFERROR(SUM(F234:G234),0)</f>
        <v>0</v>
      </c>
      <c r="M234" s="178">
        <f>MAX(M218:M233)</f>
        <v>0</v>
      </c>
      <c r="O234" s="36">
        <f>M234</f>
        <v>0</v>
      </c>
      <c r="P234" s="36">
        <f>IF(AND(SUM(F234:G234)=0,SUM(F273:G273)&gt;0),1,0)</f>
        <v>0</v>
      </c>
    </row>
    <row r="235" spans="2:17" x14ac:dyDescent="0.25">
      <c r="G235" s="82"/>
      <c r="P235" s="36">
        <f>IF(AND(O212=0,L214&lt;&gt;0,SUM(F234:G234)=0),1,0)</f>
        <v>0</v>
      </c>
    </row>
    <row r="236" spans="2:17" ht="30" customHeight="1" x14ac:dyDescent="0.25">
      <c r="E236" s="14"/>
      <c r="F236" s="63" t="s">
        <v>1923</v>
      </c>
      <c r="G236" s="82"/>
      <c r="P236" s="36">
        <f>MAX(P234:P235)</f>
        <v>0</v>
      </c>
    </row>
    <row r="237" spans="2:17" x14ac:dyDescent="0.25">
      <c r="E237" s="2" t="s">
        <v>2192</v>
      </c>
      <c r="F237" s="212"/>
      <c r="G237" s="82"/>
      <c r="I237" s="346" t="str">
        <f>IF(OR(P235=1,K237=1),"Bitte Dateneingabe vornehmen","")</f>
        <v/>
      </c>
      <c r="K237" s="5">
        <f>IF(AND(F237="",M234=0,L234&gt;0),1,0)</f>
        <v>0</v>
      </c>
      <c r="L237" s="5">
        <f>IF(OR(M234=1,K237=1),1,0)</f>
        <v>0</v>
      </c>
    </row>
    <row r="238" spans="2:17" x14ac:dyDescent="0.25">
      <c r="E238" s="2" t="s">
        <v>1921</v>
      </c>
      <c r="F238" s="64" t="str">
        <f>F234</f>
        <v>Dateneingabe fehlt</v>
      </c>
      <c r="G238" s="82"/>
    </row>
    <row r="239" spans="2:17" ht="15.75" thickBot="1" x14ac:dyDescent="0.3">
      <c r="E239" s="2" t="s">
        <v>2193</v>
      </c>
      <c r="F239" s="212"/>
      <c r="G239" s="82"/>
      <c r="I239" s="346" t="str">
        <f>IF(OR(P235=1,K239=1),"Bitte Dateneingabe vornehmen","")</f>
        <v/>
      </c>
      <c r="K239" s="5">
        <f>IF(AND(F239="",M234=0,L234&gt;0),1,0)</f>
        <v>0</v>
      </c>
      <c r="L239" s="5">
        <f>IF(OR(M234=1,K239=1),1,0)</f>
        <v>0</v>
      </c>
    </row>
    <row r="240" spans="2:17" ht="15.75" thickTop="1" x14ac:dyDescent="0.25">
      <c r="E240" s="62" t="s">
        <v>1922</v>
      </c>
      <c r="F240" s="179" t="str">
        <f>IFERROR(IF(L240=1,"Dateneingabe fehlt",F237+F238-F239),"Dateneingabe fehlt")</f>
        <v>Dateneingabe fehlt</v>
      </c>
      <c r="G240" s="271" t="str">
        <f>CONCATENATE("in ",IF($L$214=0,"Handelseinheit",$L$214))</f>
        <v>in Handelseinheit</v>
      </c>
      <c r="K240" s="178"/>
      <c r="L240" s="178">
        <f>MAX(L237:L239)</f>
        <v>0</v>
      </c>
      <c r="M240" s="178"/>
      <c r="P240" s="36">
        <f>L240</f>
        <v>0</v>
      </c>
      <c r="Q240" s="238" t="str">
        <f>F240</f>
        <v>Dateneingabe fehlt</v>
      </c>
    </row>
    <row r="241" spans="2:9" ht="15.75" thickBot="1" x14ac:dyDescent="0.3">
      <c r="E241" s="11"/>
      <c r="F241" s="474" t="s">
        <v>2019</v>
      </c>
      <c r="G241" s="475"/>
    </row>
    <row r="242" spans="2:9" ht="15.75" thickTop="1" x14ac:dyDescent="0.25">
      <c r="G242" s="82"/>
    </row>
    <row r="243" spans="2:9" x14ac:dyDescent="0.25">
      <c r="E243" s="11" t="s">
        <v>2180</v>
      </c>
      <c r="G243" s="82"/>
    </row>
    <row r="244" spans="2:9" x14ac:dyDescent="0.25">
      <c r="E244" s="468" t="s">
        <v>1915</v>
      </c>
      <c r="F244" s="468"/>
      <c r="G244" s="141"/>
      <c r="I244" s="404" t="s">
        <v>1985</v>
      </c>
    </row>
    <row r="245" spans="2:9" x14ac:dyDescent="0.25">
      <c r="E245" s="468" t="s">
        <v>1916</v>
      </c>
      <c r="F245" s="468"/>
      <c r="G245" s="141"/>
      <c r="I245" s="404"/>
    </row>
    <row r="246" spans="2:9" x14ac:dyDescent="0.25">
      <c r="E246" s="468" t="s">
        <v>2260</v>
      </c>
      <c r="F246" s="468"/>
      <c r="G246" s="141"/>
      <c r="I246" s="404"/>
    </row>
    <row r="247" spans="2:9" x14ac:dyDescent="0.25">
      <c r="E247" s="59" t="s">
        <v>1918</v>
      </c>
      <c r="F247" s="59"/>
      <c r="G247" s="221">
        <f>SUM(G244:G246)</f>
        <v>0</v>
      </c>
      <c r="H247" s="176">
        <v>2</v>
      </c>
    </row>
    <row r="248" spans="2:9" ht="6.95" customHeight="1" x14ac:dyDescent="0.25">
      <c r="G248" s="222"/>
    </row>
    <row r="249" spans="2:9" x14ac:dyDescent="0.25">
      <c r="E249" s="60"/>
      <c r="G249" s="223" t="str">
        <f>IFERROR(G234-G247,"Dateneingabe fehlt")</f>
        <v>Dateneingabe fehlt</v>
      </c>
    </row>
    <row r="250" spans="2:9" ht="6.95" customHeight="1" thickBot="1" x14ac:dyDescent="0.3"/>
    <row r="251" spans="2:9" ht="15.75" thickTop="1" x14ac:dyDescent="0.25">
      <c r="E251" s="224" t="s">
        <v>2063</v>
      </c>
      <c r="F251" s="225" t="str">
        <f>IFERROR(G249/F234,"Dateneingabe fehlt")</f>
        <v>Dateneingabe fehlt</v>
      </c>
      <c r="G251" s="226" t="str">
        <f>CONCATENATE("€/",IF($L$214=0,"Handelseinheit",$L$214))</f>
        <v>€/Handelseinheit</v>
      </c>
    </row>
    <row r="252" spans="2:9" ht="15.75" thickBot="1" x14ac:dyDescent="0.3">
      <c r="E252" s="465" t="s">
        <v>2019</v>
      </c>
      <c r="F252" s="466"/>
      <c r="G252" s="467"/>
    </row>
    <row r="253" spans="2:9" ht="15.75" thickTop="1" x14ac:dyDescent="0.25">
      <c r="B253" s="14"/>
      <c r="C253" s="14"/>
      <c r="D253" s="14"/>
      <c r="E253" s="14"/>
      <c r="F253" s="14"/>
      <c r="G253" s="236"/>
      <c r="H253" s="14"/>
    </row>
    <row r="255" spans="2:9" ht="15" customHeight="1" x14ac:dyDescent="0.25">
      <c r="B255" s="452" t="s">
        <v>2242</v>
      </c>
      <c r="C255" s="470" t="s">
        <v>1912</v>
      </c>
      <c r="D255" s="472" t="s">
        <v>1911</v>
      </c>
      <c r="E255" s="470" t="s">
        <v>2013</v>
      </c>
      <c r="F255" s="472" t="s">
        <v>2183</v>
      </c>
      <c r="G255" s="476" t="s">
        <v>2184</v>
      </c>
    </row>
    <row r="256" spans="2:9" x14ac:dyDescent="0.25">
      <c r="B256" s="469"/>
      <c r="C256" s="471"/>
      <c r="D256" s="473"/>
      <c r="E256" s="471"/>
      <c r="F256" s="471"/>
      <c r="G256" s="477"/>
    </row>
    <row r="257" spans="2:13" x14ac:dyDescent="0.25">
      <c r="B257" s="166"/>
      <c r="C257" s="167">
        <v>2022</v>
      </c>
      <c r="D257" s="118"/>
      <c r="E257" s="119"/>
      <c r="F257" s="258"/>
      <c r="G257" s="121"/>
      <c r="I257" s="347" t="str">
        <f>IF(M257=1,"Dateneingabe unvollständig","")</f>
        <v/>
      </c>
      <c r="K257" s="5">
        <f>IF(AND(SUM(F257:G257)&lt;&gt;0,OR(B257="",D257="",E257="")),1,IF(AND(SUM(F257:G257)=0,OR(B257&lt;&gt;"",D257&lt;&gt;"",E257&lt;&gt;"")),1,0))</f>
        <v>0</v>
      </c>
      <c r="L257" s="5">
        <f>IF(OR(AND(F257&lt;&gt;0,G257=0),AND(G257&lt;&gt;0,F257=0)),1,0)</f>
        <v>0</v>
      </c>
      <c r="M257" s="5">
        <f>MAX(K257:L257)</f>
        <v>0</v>
      </c>
    </row>
    <row r="258" spans="2:13" x14ac:dyDescent="0.25">
      <c r="B258" s="166"/>
      <c r="C258" s="167">
        <v>2022</v>
      </c>
      <c r="D258" s="118"/>
      <c r="E258" s="119"/>
      <c r="F258" s="258"/>
      <c r="G258" s="121"/>
      <c r="I258" s="347" t="str">
        <f t="shared" ref="I258:I272" si="28">IF(M258=1,"Dateneingabe unvollständig","")</f>
        <v/>
      </c>
      <c r="K258" s="5">
        <f t="shared" ref="K258:K266" si="29">IF(AND(SUM(F258:G258)&lt;&gt;0,OR(B258="",D258="",E258="")),1,IF(AND(SUM(F258:G258)=0,OR(B258&lt;&gt;"",D258&lt;&gt;"",E258&lt;&gt;"")),1,0))</f>
        <v>0</v>
      </c>
      <c r="L258" s="5">
        <f t="shared" ref="L258:L272" si="30">IF(OR(AND(F258&lt;&gt;0,G258=0),AND(G258&lt;&gt;0,F258=0)),1,0)</f>
        <v>0</v>
      </c>
      <c r="M258" s="5">
        <f t="shared" ref="M258:M272" si="31">MAX(K258:L258)</f>
        <v>0</v>
      </c>
    </row>
    <row r="259" spans="2:13" x14ac:dyDescent="0.25">
      <c r="B259" s="166"/>
      <c r="C259" s="167">
        <v>2022</v>
      </c>
      <c r="D259" s="118"/>
      <c r="E259" s="119"/>
      <c r="F259" s="258"/>
      <c r="G259" s="121"/>
      <c r="I259" s="347" t="str">
        <f t="shared" si="28"/>
        <v/>
      </c>
      <c r="K259" s="5">
        <f t="shared" si="29"/>
        <v>0</v>
      </c>
      <c r="L259" s="5">
        <f t="shared" si="30"/>
        <v>0</v>
      </c>
      <c r="M259" s="5">
        <f t="shared" si="31"/>
        <v>0</v>
      </c>
    </row>
    <row r="260" spans="2:13" x14ac:dyDescent="0.25">
      <c r="B260" s="166"/>
      <c r="C260" s="167">
        <v>2022</v>
      </c>
      <c r="D260" s="118"/>
      <c r="E260" s="119"/>
      <c r="F260" s="258"/>
      <c r="G260" s="121"/>
      <c r="I260" s="347" t="str">
        <f t="shared" si="28"/>
        <v/>
      </c>
      <c r="K260" s="5">
        <f t="shared" si="29"/>
        <v>0</v>
      </c>
      <c r="L260" s="5">
        <f t="shared" si="30"/>
        <v>0</v>
      </c>
      <c r="M260" s="5">
        <f t="shared" si="31"/>
        <v>0</v>
      </c>
    </row>
    <row r="261" spans="2:13" x14ac:dyDescent="0.25">
      <c r="B261" s="166"/>
      <c r="C261" s="167">
        <v>2022</v>
      </c>
      <c r="D261" s="118"/>
      <c r="E261" s="119"/>
      <c r="F261" s="258"/>
      <c r="G261" s="121"/>
      <c r="I261" s="347" t="str">
        <f t="shared" si="28"/>
        <v/>
      </c>
      <c r="K261" s="5">
        <f t="shared" si="29"/>
        <v>0</v>
      </c>
      <c r="L261" s="5">
        <f t="shared" si="30"/>
        <v>0</v>
      </c>
      <c r="M261" s="5">
        <f t="shared" si="31"/>
        <v>0</v>
      </c>
    </row>
    <row r="262" spans="2:13" x14ac:dyDescent="0.25">
      <c r="B262" s="166"/>
      <c r="C262" s="167">
        <v>2022</v>
      </c>
      <c r="D262" s="118"/>
      <c r="E262" s="119"/>
      <c r="F262" s="258"/>
      <c r="G262" s="121"/>
      <c r="I262" s="347" t="str">
        <f t="shared" si="28"/>
        <v/>
      </c>
      <c r="K262" s="5">
        <f t="shared" si="29"/>
        <v>0</v>
      </c>
      <c r="L262" s="5">
        <f t="shared" si="30"/>
        <v>0</v>
      </c>
      <c r="M262" s="5">
        <f t="shared" si="31"/>
        <v>0</v>
      </c>
    </row>
    <row r="263" spans="2:13" x14ac:dyDescent="0.25">
      <c r="B263" s="166"/>
      <c r="C263" s="167">
        <v>2022</v>
      </c>
      <c r="D263" s="118"/>
      <c r="E263" s="119"/>
      <c r="F263" s="258"/>
      <c r="G263" s="121"/>
      <c r="I263" s="347" t="str">
        <f t="shared" si="28"/>
        <v/>
      </c>
      <c r="K263" s="5">
        <f t="shared" si="29"/>
        <v>0</v>
      </c>
      <c r="L263" s="5">
        <f t="shared" si="30"/>
        <v>0</v>
      </c>
      <c r="M263" s="5">
        <f t="shared" si="31"/>
        <v>0</v>
      </c>
    </row>
    <row r="264" spans="2:13" x14ac:dyDescent="0.25">
      <c r="B264" s="166"/>
      <c r="C264" s="167">
        <v>2022</v>
      </c>
      <c r="D264" s="118"/>
      <c r="E264" s="119"/>
      <c r="F264" s="258"/>
      <c r="G264" s="121"/>
      <c r="I264" s="347" t="str">
        <f t="shared" si="28"/>
        <v/>
      </c>
      <c r="K264" s="5">
        <f t="shared" si="29"/>
        <v>0</v>
      </c>
      <c r="L264" s="5">
        <f t="shared" si="30"/>
        <v>0</v>
      </c>
      <c r="M264" s="5">
        <f t="shared" si="31"/>
        <v>0</v>
      </c>
    </row>
    <row r="265" spans="2:13" x14ac:dyDescent="0.25">
      <c r="B265" s="166"/>
      <c r="C265" s="167">
        <v>2022</v>
      </c>
      <c r="D265" s="118"/>
      <c r="E265" s="119"/>
      <c r="F265" s="258"/>
      <c r="G265" s="121"/>
      <c r="I265" s="347" t="str">
        <f t="shared" si="28"/>
        <v/>
      </c>
      <c r="K265" s="5">
        <f t="shared" si="29"/>
        <v>0</v>
      </c>
      <c r="L265" s="5">
        <f t="shared" si="30"/>
        <v>0</v>
      </c>
      <c r="M265" s="5">
        <f t="shared" si="31"/>
        <v>0</v>
      </c>
    </row>
    <row r="266" spans="2:13" x14ac:dyDescent="0.25">
      <c r="B266" s="166"/>
      <c r="C266" s="167">
        <v>2022</v>
      </c>
      <c r="D266" s="118"/>
      <c r="E266" s="119"/>
      <c r="F266" s="258"/>
      <c r="G266" s="121"/>
      <c r="I266" s="347" t="str">
        <f t="shared" si="28"/>
        <v/>
      </c>
      <c r="K266" s="5">
        <f t="shared" si="29"/>
        <v>0</v>
      </c>
      <c r="L266" s="5">
        <f t="shared" si="30"/>
        <v>0</v>
      </c>
      <c r="M266" s="5">
        <f t="shared" si="31"/>
        <v>0</v>
      </c>
    </row>
    <row r="267" spans="2:13" x14ac:dyDescent="0.25">
      <c r="B267" s="168" t="s">
        <v>1974</v>
      </c>
      <c r="C267" s="167">
        <v>2022</v>
      </c>
      <c r="D267" s="459" t="s">
        <v>2020</v>
      </c>
      <c r="E267" s="460"/>
      <c r="F267" s="258"/>
      <c r="G267" s="121"/>
      <c r="I267" s="347" t="str">
        <f t="shared" si="28"/>
        <v/>
      </c>
      <c r="L267" s="5">
        <f t="shared" si="30"/>
        <v>0</v>
      </c>
      <c r="M267" s="5">
        <f t="shared" si="31"/>
        <v>0</v>
      </c>
    </row>
    <row r="268" spans="2:13" x14ac:dyDescent="0.25">
      <c r="B268" s="168" t="s">
        <v>1955</v>
      </c>
      <c r="C268" s="167">
        <v>2022</v>
      </c>
      <c r="D268" s="461"/>
      <c r="E268" s="462"/>
      <c r="F268" s="258"/>
      <c r="G268" s="121"/>
      <c r="I268" s="347" t="str">
        <f t="shared" si="28"/>
        <v/>
      </c>
      <c r="L268" s="5">
        <f t="shared" si="30"/>
        <v>0</v>
      </c>
      <c r="M268" s="5">
        <f t="shared" si="31"/>
        <v>0</v>
      </c>
    </row>
    <row r="269" spans="2:13" x14ac:dyDescent="0.25">
      <c r="B269" s="168" t="s">
        <v>1956</v>
      </c>
      <c r="C269" s="167">
        <v>2022</v>
      </c>
      <c r="D269" s="461"/>
      <c r="E269" s="462"/>
      <c r="F269" s="258"/>
      <c r="G269" s="121"/>
      <c r="I269" s="347" t="str">
        <f t="shared" si="28"/>
        <v/>
      </c>
      <c r="L269" s="5">
        <f t="shared" si="30"/>
        <v>0</v>
      </c>
      <c r="M269" s="5">
        <f t="shared" si="31"/>
        <v>0</v>
      </c>
    </row>
    <row r="270" spans="2:13" x14ac:dyDescent="0.25">
      <c r="B270" s="168" t="s">
        <v>1957</v>
      </c>
      <c r="C270" s="167">
        <v>2022</v>
      </c>
      <c r="D270" s="461"/>
      <c r="E270" s="462"/>
      <c r="F270" s="258"/>
      <c r="G270" s="121"/>
      <c r="I270" s="347" t="str">
        <f t="shared" si="28"/>
        <v/>
      </c>
      <c r="L270" s="5">
        <f t="shared" si="30"/>
        <v>0</v>
      </c>
      <c r="M270" s="5">
        <f t="shared" si="31"/>
        <v>0</v>
      </c>
    </row>
    <row r="271" spans="2:13" x14ac:dyDescent="0.25">
      <c r="B271" s="168" t="s">
        <v>1958</v>
      </c>
      <c r="C271" s="167">
        <v>2022</v>
      </c>
      <c r="D271" s="461"/>
      <c r="E271" s="462"/>
      <c r="F271" s="258"/>
      <c r="G271" s="121"/>
      <c r="I271" s="347" t="str">
        <f t="shared" si="28"/>
        <v/>
      </c>
      <c r="L271" s="5">
        <f t="shared" si="30"/>
        <v>0</v>
      </c>
      <c r="M271" s="5">
        <f t="shared" si="31"/>
        <v>0</v>
      </c>
    </row>
    <row r="272" spans="2:13" x14ac:dyDescent="0.25">
      <c r="B272" s="168" t="s">
        <v>1959</v>
      </c>
      <c r="C272" s="167">
        <v>2022</v>
      </c>
      <c r="D272" s="463"/>
      <c r="E272" s="464"/>
      <c r="F272" s="258"/>
      <c r="G272" s="121"/>
      <c r="I272" s="347" t="str">
        <f t="shared" si="28"/>
        <v/>
      </c>
      <c r="L272" s="5">
        <f t="shared" si="30"/>
        <v>0</v>
      </c>
      <c r="M272" s="5">
        <f t="shared" si="31"/>
        <v>0</v>
      </c>
    </row>
    <row r="273" spans="5:17" x14ac:dyDescent="0.25">
      <c r="E273" s="2" t="s">
        <v>1917</v>
      </c>
      <c r="F273" s="123" t="str">
        <f>IF(OR(M273=1,SUM(F257:F272)=0),"Dateneingabe fehlt",SUM(F257:F272))</f>
        <v>Dateneingabe fehlt</v>
      </c>
      <c r="G273" s="180" t="str">
        <f>IF(OR(M273=1,SUM(G257:G272)=0),"Dateneingabe fehlt",SUM(G257:G272))</f>
        <v>Dateneingabe fehlt</v>
      </c>
      <c r="H273" s="176">
        <v>1</v>
      </c>
      <c r="I273" s="346" t="str">
        <f>IF(P275=1,"Bitte Dateneingabe vornehmen","")</f>
        <v/>
      </c>
      <c r="K273" s="178"/>
      <c r="L273" s="178">
        <f>IFERROR(SUM(F273:G273),0)</f>
        <v>0</v>
      </c>
      <c r="M273" s="178">
        <f>MAX(M257:M272)</f>
        <v>0</v>
      </c>
      <c r="O273" s="36">
        <f>M273</f>
        <v>0</v>
      </c>
      <c r="P273" s="36">
        <f>IF(AND(SUM(F273:G273)=0,SUM(F234:G234)&gt;0),1,0)</f>
        <v>0</v>
      </c>
    </row>
    <row r="274" spans="5:17" x14ac:dyDescent="0.25">
      <c r="G274" s="82"/>
      <c r="P274" s="36">
        <f>IF(AND(O212=0,L214&lt;&gt;0,SUM(F273:G273)=0),1,0)</f>
        <v>0</v>
      </c>
    </row>
    <row r="275" spans="5:17" ht="30" x14ac:dyDescent="0.25">
      <c r="E275" s="14"/>
      <c r="F275" s="63" t="s">
        <v>1923</v>
      </c>
      <c r="G275" s="82"/>
      <c r="P275" s="36">
        <f>MAX(P273:P274)</f>
        <v>0</v>
      </c>
    </row>
    <row r="276" spans="5:17" x14ac:dyDescent="0.25">
      <c r="E276" s="2" t="s">
        <v>1920</v>
      </c>
      <c r="F276" s="64">
        <f>F239</f>
        <v>0</v>
      </c>
      <c r="G276" s="82"/>
      <c r="I276" s="346" t="str">
        <f>IF(K276=1,"Bitte Dateneingabe vornehmen","")</f>
        <v/>
      </c>
    </row>
    <row r="277" spans="5:17" x14ac:dyDescent="0.25">
      <c r="E277" s="2" t="s">
        <v>1924</v>
      </c>
      <c r="F277" s="64" t="str">
        <f>F273</f>
        <v>Dateneingabe fehlt</v>
      </c>
      <c r="G277" s="82"/>
    </row>
    <row r="278" spans="5:17" ht="15.75" thickBot="1" x14ac:dyDescent="0.3">
      <c r="E278" s="2" t="s">
        <v>2194</v>
      </c>
      <c r="F278" s="212"/>
      <c r="G278" s="82"/>
      <c r="I278" s="346" t="str">
        <f>IF(OR(P274=1,K278=1),"Bitte Dateneingabe vornehmen","")</f>
        <v/>
      </c>
      <c r="K278" s="5">
        <f>IF(AND(F278="",M273=0,L273&gt;0),1,0)</f>
        <v>0</v>
      </c>
      <c r="L278" s="5">
        <f>IF(OR(M273=1,K278=1),1,0)</f>
        <v>0</v>
      </c>
    </row>
    <row r="279" spans="5:17" ht="15.75" thickTop="1" x14ac:dyDescent="0.25">
      <c r="E279" s="62" t="s">
        <v>1925</v>
      </c>
      <c r="F279" s="179" t="str">
        <f>IFERROR(IF(L279=1,"Dateneingabe fehlt",F276+F277-F278),"Dateneingabe fehlt")</f>
        <v>Dateneingabe fehlt</v>
      </c>
      <c r="G279" s="271" t="str">
        <f>CONCATENATE("in ",IF($L$214=0,"Handelseinheit",$L$214))</f>
        <v>in Handelseinheit</v>
      </c>
      <c r="K279" s="178"/>
      <c r="L279" s="178">
        <f>MAX(L276:L278)</f>
        <v>0</v>
      </c>
      <c r="M279" s="178"/>
      <c r="P279" s="36">
        <f>L279</f>
        <v>0</v>
      </c>
      <c r="Q279" s="238" t="str">
        <f>F279</f>
        <v>Dateneingabe fehlt</v>
      </c>
    </row>
    <row r="280" spans="5:17" ht="15.75" thickBot="1" x14ac:dyDescent="0.3">
      <c r="E280" s="11"/>
      <c r="F280" s="474" t="s">
        <v>2019</v>
      </c>
      <c r="G280" s="475"/>
    </row>
    <row r="281" spans="5:17" ht="15.75" thickTop="1" x14ac:dyDescent="0.25">
      <c r="G281" s="82"/>
    </row>
    <row r="282" spans="5:17" x14ac:dyDescent="0.25">
      <c r="E282" s="11" t="s">
        <v>2180</v>
      </c>
      <c r="G282" s="82"/>
    </row>
    <row r="283" spans="5:17" x14ac:dyDescent="0.25">
      <c r="E283" s="468" t="s">
        <v>1915</v>
      </c>
      <c r="F283" s="468"/>
      <c r="G283" s="141"/>
      <c r="I283" s="404" t="s">
        <v>1985</v>
      </c>
    </row>
    <row r="284" spans="5:17" x14ac:dyDescent="0.25">
      <c r="E284" s="468" t="s">
        <v>1916</v>
      </c>
      <c r="F284" s="468"/>
      <c r="G284" s="141"/>
      <c r="I284" s="404"/>
    </row>
    <row r="285" spans="5:17" x14ac:dyDescent="0.25">
      <c r="E285" s="468" t="s">
        <v>2260</v>
      </c>
      <c r="F285" s="468"/>
      <c r="G285" s="141"/>
      <c r="I285" s="404"/>
    </row>
    <row r="286" spans="5:17" x14ac:dyDescent="0.25">
      <c r="E286" s="59" t="s">
        <v>1918</v>
      </c>
      <c r="F286" s="59"/>
      <c r="G286" s="221">
        <f>SUM(G283:G285)</f>
        <v>0</v>
      </c>
      <c r="H286" s="176">
        <v>2</v>
      </c>
    </row>
    <row r="287" spans="5:17" x14ac:dyDescent="0.25">
      <c r="G287" s="222"/>
    </row>
    <row r="288" spans="5:17" x14ac:dyDescent="0.25">
      <c r="E288" s="60"/>
      <c r="G288" s="223" t="str">
        <f>IFERROR(G273-G286,"Dateneingabe fehlt")</f>
        <v>Dateneingabe fehlt</v>
      </c>
    </row>
    <row r="289" spans="1:15" ht="15.75" thickBot="1" x14ac:dyDescent="0.3"/>
    <row r="290" spans="1:15" ht="15.75" thickTop="1" x14ac:dyDescent="0.25">
      <c r="E290" s="224" t="s">
        <v>2064</v>
      </c>
      <c r="F290" s="225" t="str">
        <f>IFERROR(G288/F273,"Dateneingabe fehlt")</f>
        <v>Dateneingabe fehlt</v>
      </c>
      <c r="G290" s="226" t="str">
        <f>CONCATENATE("€/",IF($L$214=0,"Handelseinheit",$L$214))</f>
        <v>€/Handelseinheit</v>
      </c>
    </row>
    <row r="291" spans="1:15" ht="15.75" thickBot="1" x14ac:dyDescent="0.3">
      <c r="E291" s="465" t="s">
        <v>2019</v>
      </c>
      <c r="F291" s="466"/>
      <c r="G291" s="467"/>
    </row>
    <row r="292" spans="1:15" ht="16.5" thickTop="1" thickBot="1" x14ac:dyDescent="0.3">
      <c r="A292" s="61"/>
      <c r="B292" s="61"/>
      <c r="C292" s="61"/>
      <c r="D292" s="61"/>
      <c r="E292" s="61"/>
      <c r="F292" s="61"/>
      <c r="G292" s="84"/>
      <c r="H292" s="61"/>
    </row>
    <row r="294" spans="1:15" ht="15.75" x14ac:dyDescent="0.25">
      <c r="A294" s="12" t="s">
        <v>1909</v>
      </c>
      <c r="C294" s="11"/>
      <c r="D294" s="2" t="s">
        <v>1945</v>
      </c>
      <c r="E294" s="210"/>
      <c r="F294" s="23" t="s">
        <v>1919</v>
      </c>
      <c r="G294" s="211"/>
      <c r="I294" s="346" t="str">
        <f>IF(O294=1,"Bitte Dateneingabe vornehmen","")</f>
        <v/>
      </c>
      <c r="K294" s="5">
        <f>IF(AND(K316=1,OR(E294="",G294="",AND(L294=1,G296=""))),1,0)</f>
        <v>0</v>
      </c>
      <c r="L294" s="5">
        <f>IF(G294="Sonstige",1,0)</f>
        <v>0</v>
      </c>
      <c r="M294" s="5">
        <f>IF(OR(AND(E294&lt;&gt;0,G294=""),AND(G294&lt;&gt;0,E294="")),1,0)</f>
        <v>0</v>
      </c>
      <c r="N294" s="5">
        <f>IF(AND(E294="",OR(SUM(F316:G316)&gt;0,SUM(F355:G355)&gt;0)),1,0)</f>
        <v>0</v>
      </c>
      <c r="O294" s="36">
        <f>MAX(K294,M294,N294)</f>
        <v>0</v>
      </c>
    </row>
    <row r="295" spans="1:15" ht="6.95" customHeight="1" x14ac:dyDescent="0.25">
      <c r="A295" s="12"/>
      <c r="C295" s="11"/>
      <c r="G295" s="85"/>
    </row>
    <row r="296" spans="1:15" ht="15.75" x14ac:dyDescent="0.25">
      <c r="A296" s="12"/>
      <c r="C296" s="11"/>
      <c r="F296" s="23" t="str">
        <f>IF(L294=1,"Sonstige:","")</f>
        <v/>
      </c>
      <c r="G296" s="348"/>
      <c r="I296" s="346" t="str">
        <f>IF(O296=1,"Bitte Dateneingabe vornehmen","")</f>
        <v/>
      </c>
      <c r="L296" s="5">
        <f>IF(L294=1,G296,G294)</f>
        <v>0</v>
      </c>
      <c r="M296" s="5">
        <f>IF(AND(L294=1,G296=""),1,0)</f>
        <v>0</v>
      </c>
      <c r="O296" s="36">
        <f>M296</f>
        <v>0</v>
      </c>
    </row>
    <row r="298" spans="1:15" ht="15" customHeight="1" x14ac:dyDescent="0.25">
      <c r="B298" s="452" t="s">
        <v>2242</v>
      </c>
      <c r="C298" s="470" t="s">
        <v>1912</v>
      </c>
      <c r="D298" s="472" t="s">
        <v>1911</v>
      </c>
      <c r="E298" s="470" t="s">
        <v>2013</v>
      </c>
      <c r="F298" s="472" t="s">
        <v>2183</v>
      </c>
      <c r="G298" s="476" t="s">
        <v>2184</v>
      </c>
    </row>
    <row r="299" spans="1:15" x14ac:dyDescent="0.25">
      <c r="B299" s="469"/>
      <c r="C299" s="471"/>
      <c r="D299" s="473"/>
      <c r="E299" s="471"/>
      <c r="F299" s="471"/>
      <c r="G299" s="477"/>
    </row>
    <row r="300" spans="1:15" x14ac:dyDescent="0.25">
      <c r="B300" s="166"/>
      <c r="C300" s="167">
        <v>2021</v>
      </c>
      <c r="D300" s="118"/>
      <c r="E300" s="119"/>
      <c r="F300" s="258"/>
      <c r="G300" s="121"/>
      <c r="I300" s="347" t="str">
        <f>IF(M300=1,"Dateneingabe unvollständig","")</f>
        <v/>
      </c>
      <c r="K300" s="5">
        <f>IF(AND(SUM(F300:G300)&lt;&gt;0,OR(B300="",D300="",E300="")),1,IF(AND(SUM(F300:G300)=0,OR(B300&lt;&gt;"",D300&lt;&gt;"",E300&lt;&gt;"")),1,0))</f>
        <v>0</v>
      </c>
      <c r="L300" s="5">
        <f>IF(OR(AND(F300&lt;&gt;0,G300=0),AND(G300&lt;&gt;0,F300=0)),1,0)</f>
        <v>0</v>
      </c>
      <c r="M300" s="5">
        <f>MAX(K300:L300)</f>
        <v>0</v>
      </c>
    </row>
    <row r="301" spans="1:15" x14ac:dyDescent="0.25">
      <c r="B301" s="166"/>
      <c r="C301" s="167">
        <v>2021</v>
      </c>
      <c r="D301" s="118"/>
      <c r="E301" s="119"/>
      <c r="F301" s="258"/>
      <c r="G301" s="121"/>
      <c r="I301" s="347" t="str">
        <f t="shared" ref="I301:I315" si="32">IF(M301=1,"Dateneingabe unvollständig","")</f>
        <v/>
      </c>
      <c r="K301" s="5">
        <f t="shared" ref="K301:K309" si="33">IF(AND(SUM(F301:G301)&lt;&gt;0,OR(B301="",D301="",E301="")),1,IF(AND(SUM(F301:G301)=0,OR(B301&lt;&gt;"",D301&lt;&gt;"",E301&lt;&gt;"")),1,0))</f>
        <v>0</v>
      </c>
      <c r="L301" s="5">
        <f t="shared" ref="L301:L315" si="34">IF(OR(AND(F301&lt;&gt;0,G301=0),AND(G301&lt;&gt;0,F301=0)),1,0)</f>
        <v>0</v>
      </c>
      <c r="M301" s="5">
        <f t="shared" ref="M301:M315" si="35">MAX(K301:L301)</f>
        <v>0</v>
      </c>
    </row>
    <row r="302" spans="1:15" x14ac:dyDescent="0.25">
      <c r="B302" s="166"/>
      <c r="C302" s="167">
        <v>2021</v>
      </c>
      <c r="D302" s="118"/>
      <c r="E302" s="119"/>
      <c r="F302" s="258"/>
      <c r="G302" s="121"/>
      <c r="I302" s="347" t="str">
        <f t="shared" si="32"/>
        <v/>
      </c>
      <c r="K302" s="5">
        <f t="shared" si="33"/>
        <v>0</v>
      </c>
      <c r="L302" s="5">
        <f t="shared" si="34"/>
        <v>0</v>
      </c>
      <c r="M302" s="5">
        <f t="shared" si="35"/>
        <v>0</v>
      </c>
    </row>
    <row r="303" spans="1:15" x14ac:dyDescent="0.25">
      <c r="B303" s="166"/>
      <c r="C303" s="167">
        <v>2021</v>
      </c>
      <c r="D303" s="118"/>
      <c r="E303" s="119"/>
      <c r="F303" s="258"/>
      <c r="G303" s="121"/>
      <c r="I303" s="347" t="str">
        <f t="shared" si="32"/>
        <v/>
      </c>
      <c r="K303" s="5">
        <f t="shared" si="33"/>
        <v>0</v>
      </c>
      <c r="L303" s="5">
        <f t="shared" si="34"/>
        <v>0</v>
      </c>
      <c r="M303" s="5">
        <f t="shared" si="35"/>
        <v>0</v>
      </c>
    </row>
    <row r="304" spans="1:15" x14ac:dyDescent="0.25">
      <c r="B304" s="166"/>
      <c r="C304" s="167">
        <v>2021</v>
      </c>
      <c r="D304" s="118"/>
      <c r="E304" s="119"/>
      <c r="F304" s="258"/>
      <c r="G304" s="121"/>
      <c r="I304" s="347" t="str">
        <f t="shared" si="32"/>
        <v/>
      </c>
      <c r="K304" s="5">
        <f t="shared" si="33"/>
        <v>0</v>
      </c>
      <c r="L304" s="5">
        <f t="shared" si="34"/>
        <v>0</v>
      </c>
      <c r="M304" s="5">
        <f t="shared" si="35"/>
        <v>0</v>
      </c>
    </row>
    <row r="305" spans="2:16" ht="15.75" customHeight="1" x14ac:dyDescent="0.25">
      <c r="B305" s="166"/>
      <c r="C305" s="167">
        <v>2021</v>
      </c>
      <c r="D305" s="118"/>
      <c r="E305" s="119"/>
      <c r="F305" s="258"/>
      <c r="G305" s="121"/>
      <c r="I305" s="347" t="str">
        <f t="shared" si="32"/>
        <v/>
      </c>
      <c r="K305" s="5">
        <f t="shared" si="33"/>
        <v>0</v>
      </c>
      <c r="L305" s="5">
        <f t="shared" si="34"/>
        <v>0</v>
      </c>
      <c r="M305" s="5">
        <f t="shared" si="35"/>
        <v>0</v>
      </c>
    </row>
    <row r="306" spans="2:16" x14ac:dyDescent="0.25">
      <c r="B306" s="166"/>
      <c r="C306" s="167">
        <v>2021</v>
      </c>
      <c r="D306" s="118"/>
      <c r="E306" s="119"/>
      <c r="F306" s="258"/>
      <c r="G306" s="121"/>
      <c r="I306" s="347" t="str">
        <f t="shared" si="32"/>
        <v/>
      </c>
      <c r="K306" s="5">
        <f t="shared" si="33"/>
        <v>0</v>
      </c>
      <c r="L306" s="5">
        <f t="shared" si="34"/>
        <v>0</v>
      </c>
      <c r="M306" s="5">
        <f t="shared" si="35"/>
        <v>0</v>
      </c>
    </row>
    <row r="307" spans="2:16" x14ac:dyDescent="0.25">
      <c r="B307" s="166"/>
      <c r="C307" s="167">
        <v>2021</v>
      </c>
      <c r="D307" s="118"/>
      <c r="E307" s="119"/>
      <c r="F307" s="258"/>
      <c r="G307" s="121"/>
      <c r="I307" s="347" t="str">
        <f t="shared" si="32"/>
        <v/>
      </c>
      <c r="K307" s="5">
        <f t="shared" si="33"/>
        <v>0</v>
      </c>
      <c r="L307" s="5">
        <f t="shared" si="34"/>
        <v>0</v>
      </c>
      <c r="M307" s="5">
        <f t="shared" si="35"/>
        <v>0</v>
      </c>
    </row>
    <row r="308" spans="2:16" x14ac:dyDescent="0.25">
      <c r="B308" s="166"/>
      <c r="C308" s="167">
        <v>2021</v>
      </c>
      <c r="D308" s="118"/>
      <c r="E308" s="119"/>
      <c r="F308" s="258"/>
      <c r="G308" s="121"/>
      <c r="I308" s="347" t="str">
        <f t="shared" si="32"/>
        <v/>
      </c>
      <c r="K308" s="5">
        <f t="shared" si="33"/>
        <v>0</v>
      </c>
      <c r="L308" s="5">
        <f t="shared" si="34"/>
        <v>0</v>
      </c>
      <c r="M308" s="5">
        <f t="shared" si="35"/>
        <v>0</v>
      </c>
    </row>
    <row r="309" spans="2:16" x14ac:dyDescent="0.25">
      <c r="B309" s="166"/>
      <c r="C309" s="167">
        <v>2021</v>
      </c>
      <c r="D309" s="118"/>
      <c r="E309" s="119"/>
      <c r="F309" s="258"/>
      <c r="G309" s="121"/>
      <c r="I309" s="347" t="str">
        <f t="shared" si="32"/>
        <v/>
      </c>
      <c r="K309" s="5">
        <f t="shared" si="33"/>
        <v>0</v>
      </c>
      <c r="L309" s="5">
        <f t="shared" si="34"/>
        <v>0</v>
      </c>
      <c r="M309" s="5">
        <f t="shared" si="35"/>
        <v>0</v>
      </c>
    </row>
    <row r="310" spans="2:16" x14ac:dyDescent="0.25">
      <c r="B310" s="168" t="s">
        <v>1974</v>
      </c>
      <c r="C310" s="167">
        <v>2021</v>
      </c>
      <c r="D310" s="459" t="s">
        <v>2020</v>
      </c>
      <c r="E310" s="460"/>
      <c r="F310" s="258"/>
      <c r="G310" s="121"/>
      <c r="I310" s="347" t="str">
        <f t="shared" si="32"/>
        <v/>
      </c>
      <c r="L310" s="5">
        <f t="shared" si="34"/>
        <v>0</v>
      </c>
      <c r="M310" s="5">
        <f t="shared" si="35"/>
        <v>0</v>
      </c>
    </row>
    <row r="311" spans="2:16" x14ac:dyDescent="0.25">
      <c r="B311" s="168" t="s">
        <v>1955</v>
      </c>
      <c r="C311" s="167">
        <v>2021</v>
      </c>
      <c r="D311" s="461"/>
      <c r="E311" s="462"/>
      <c r="F311" s="258"/>
      <c r="G311" s="121"/>
      <c r="I311" s="347" t="str">
        <f t="shared" si="32"/>
        <v/>
      </c>
      <c r="L311" s="5">
        <f t="shared" si="34"/>
        <v>0</v>
      </c>
      <c r="M311" s="5">
        <f t="shared" si="35"/>
        <v>0</v>
      </c>
    </row>
    <row r="312" spans="2:16" x14ac:dyDescent="0.25">
      <c r="B312" s="168" t="s">
        <v>1956</v>
      </c>
      <c r="C312" s="167">
        <v>2021</v>
      </c>
      <c r="D312" s="461"/>
      <c r="E312" s="462"/>
      <c r="F312" s="258"/>
      <c r="G312" s="121"/>
      <c r="I312" s="347" t="str">
        <f t="shared" si="32"/>
        <v/>
      </c>
      <c r="L312" s="5">
        <f t="shared" si="34"/>
        <v>0</v>
      </c>
      <c r="M312" s="5">
        <f t="shared" si="35"/>
        <v>0</v>
      </c>
    </row>
    <row r="313" spans="2:16" x14ac:dyDescent="0.25">
      <c r="B313" s="168" t="s">
        <v>1957</v>
      </c>
      <c r="C313" s="167">
        <v>2021</v>
      </c>
      <c r="D313" s="461"/>
      <c r="E313" s="462"/>
      <c r="F313" s="258"/>
      <c r="G313" s="121"/>
      <c r="I313" s="347" t="str">
        <f t="shared" si="32"/>
        <v/>
      </c>
      <c r="L313" s="5">
        <f t="shared" si="34"/>
        <v>0</v>
      </c>
      <c r="M313" s="5">
        <f t="shared" si="35"/>
        <v>0</v>
      </c>
    </row>
    <row r="314" spans="2:16" x14ac:dyDescent="0.25">
      <c r="B314" s="168" t="s">
        <v>1958</v>
      </c>
      <c r="C314" s="167">
        <v>2021</v>
      </c>
      <c r="D314" s="461"/>
      <c r="E314" s="462"/>
      <c r="F314" s="258"/>
      <c r="G314" s="121"/>
      <c r="I314" s="347" t="str">
        <f t="shared" si="32"/>
        <v/>
      </c>
      <c r="L314" s="5">
        <f t="shared" si="34"/>
        <v>0</v>
      </c>
      <c r="M314" s="5">
        <f t="shared" si="35"/>
        <v>0</v>
      </c>
    </row>
    <row r="315" spans="2:16" x14ac:dyDescent="0.25">
      <c r="B315" s="168" t="s">
        <v>1959</v>
      </c>
      <c r="C315" s="167">
        <v>2021</v>
      </c>
      <c r="D315" s="463"/>
      <c r="E315" s="464"/>
      <c r="F315" s="258"/>
      <c r="G315" s="121"/>
      <c r="I315" s="347" t="str">
        <f t="shared" si="32"/>
        <v/>
      </c>
      <c r="L315" s="5">
        <f t="shared" si="34"/>
        <v>0</v>
      </c>
      <c r="M315" s="5">
        <f t="shared" si="35"/>
        <v>0</v>
      </c>
    </row>
    <row r="316" spans="2:16" x14ac:dyDescent="0.25">
      <c r="E316" s="2" t="s">
        <v>1917</v>
      </c>
      <c r="F316" s="123" t="str">
        <f>IF(OR($M$234=1,SUM(F300:F315)=0),"Dateneingabe fehlt",SUM(F300:F315))</f>
        <v>Dateneingabe fehlt</v>
      </c>
      <c r="G316" s="180" t="str">
        <f>IF(OR($M$234=1,SUM(G300:G315)=0),"Dateneingabe fehlt",SUM(G300:G315))</f>
        <v>Dateneingabe fehlt</v>
      </c>
      <c r="H316" s="176">
        <v>1</v>
      </c>
      <c r="I316" s="346" t="str">
        <f>IF(P318=1,"Bitte Dateneingabe vornehmen","")</f>
        <v/>
      </c>
      <c r="K316" s="178"/>
      <c r="L316" s="178">
        <f>IFERROR(SUM(F316:G316),0)</f>
        <v>0</v>
      </c>
      <c r="M316" s="178">
        <f>MAX(M300:M315)</f>
        <v>0</v>
      </c>
      <c r="O316" s="36">
        <f>M316</f>
        <v>0</v>
      </c>
      <c r="P316" s="36">
        <f>IF(AND(SUM(F316:G316)=0,SUM(F355:G355)&gt;0),1,0)</f>
        <v>0</v>
      </c>
    </row>
    <row r="317" spans="2:16" x14ac:dyDescent="0.25">
      <c r="G317" s="82"/>
      <c r="P317" s="36">
        <f>IF(AND(O294=0,L296&lt;&gt;0,SUM(F316:G316)=0),1,0)</f>
        <v>0</v>
      </c>
    </row>
    <row r="318" spans="2:16" ht="30" x14ac:dyDescent="0.25">
      <c r="E318" s="14"/>
      <c r="F318" s="63" t="s">
        <v>1923</v>
      </c>
      <c r="G318" s="82"/>
      <c r="P318" s="36">
        <f>MAX(P316:P317)</f>
        <v>0</v>
      </c>
    </row>
    <row r="319" spans="2:16" x14ac:dyDescent="0.25">
      <c r="E319" s="2" t="s">
        <v>2192</v>
      </c>
      <c r="F319" s="212"/>
      <c r="G319" s="82"/>
      <c r="I319" s="346" t="str">
        <f>IF(OR(P317=1,K319=1),"Bitte Dateneingabe vornehmen","")</f>
        <v/>
      </c>
      <c r="K319" s="5">
        <f>IF(AND(F319="",M316=0,L316&gt;0),1,0)</f>
        <v>0</v>
      </c>
      <c r="L319" s="5">
        <f>IF(OR(M316=1,K319=1),1,0)</f>
        <v>0</v>
      </c>
    </row>
    <row r="320" spans="2:16" x14ac:dyDescent="0.25">
      <c r="E320" s="2" t="s">
        <v>1921</v>
      </c>
      <c r="F320" s="64" t="str">
        <f>F316</f>
        <v>Dateneingabe fehlt</v>
      </c>
      <c r="G320" s="82"/>
    </row>
    <row r="321" spans="2:17" ht="15.75" thickBot="1" x14ac:dyDescent="0.3">
      <c r="E321" s="2" t="s">
        <v>2193</v>
      </c>
      <c r="F321" s="212"/>
      <c r="G321" s="82"/>
      <c r="I321" s="346" t="str">
        <f>IF(OR(P317=1,K321=1),"Bitte Dateneingabe vornehmen","")</f>
        <v/>
      </c>
      <c r="K321" s="5">
        <f>IF(AND(F321="",M316=0,L316&gt;0),1,0)</f>
        <v>0</v>
      </c>
      <c r="L321" s="5">
        <f>IF(OR(M316=1,K321=1),1,0)</f>
        <v>0</v>
      </c>
    </row>
    <row r="322" spans="2:17" ht="15.75" thickTop="1" x14ac:dyDescent="0.25">
      <c r="E322" s="62" t="s">
        <v>1922</v>
      </c>
      <c r="F322" s="179" t="str">
        <f>IFERROR(IF(L322=1,"Dateneingabe fehlt",F319+F320-F321),"Dateneingabe fehlt")</f>
        <v>Dateneingabe fehlt</v>
      </c>
      <c r="G322" s="271" t="str">
        <f>CONCATENATE("in ",IF(L296=0,"Handelseinheit",L296))</f>
        <v>in Handelseinheit</v>
      </c>
      <c r="K322" s="178"/>
      <c r="L322" s="178">
        <f>MAX(L319:L321)</f>
        <v>0</v>
      </c>
      <c r="M322" s="178"/>
      <c r="P322" s="36">
        <f>L322</f>
        <v>0</v>
      </c>
      <c r="Q322" s="238" t="str">
        <f>F322</f>
        <v>Dateneingabe fehlt</v>
      </c>
    </row>
    <row r="323" spans="2:17" ht="15.75" thickBot="1" x14ac:dyDescent="0.3">
      <c r="E323" s="11"/>
      <c r="F323" s="474" t="s">
        <v>2019</v>
      </c>
      <c r="G323" s="475"/>
    </row>
    <row r="324" spans="2:17" ht="15.75" thickTop="1" x14ac:dyDescent="0.25">
      <c r="G324" s="82"/>
    </row>
    <row r="325" spans="2:17" x14ac:dyDescent="0.25">
      <c r="E325" s="11" t="s">
        <v>2180</v>
      </c>
      <c r="G325" s="82"/>
    </row>
    <row r="326" spans="2:17" ht="15" customHeight="1" x14ac:dyDescent="0.25">
      <c r="E326" s="468" t="s">
        <v>1915</v>
      </c>
      <c r="F326" s="468"/>
      <c r="G326" s="141"/>
      <c r="I326" s="404" t="s">
        <v>1985</v>
      </c>
    </row>
    <row r="327" spans="2:17" x14ac:dyDescent="0.25">
      <c r="E327" s="468" t="s">
        <v>1916</v>
      </c>
      <c r="F327" s="468"/>
      <c r="G327" s="141"/>
      <c r="I327" s="404"/>
    </row>
    <row r="328" spans="2:17" x14ac:dyDescent="0.25">
      <c r="E328" s="468" t="s">
        <v>2260</v>
      </c>
      <c r="F328" s="468"/>
      <c r="G328" s="141"/>
      <c r="I328" s="404"/>
    </row>
    <row r="329" spans="2:17" x14ac:dyDescent="0.25">
      <c r="E329" s="59" t="s">
        <v>1918</v>
      </c>
      <c r="F329" s="59"/>
      <c r="G329" s="221">
        <f>SUM(G326:G328)</f>
        <v>0</v>
      </c>
      <c r="H329" s="176">
        <v>2</v>
      </c>
    </row>
    <row r="330" spans="2:17" x14ac:dyDescent="0.25">
      <c r="G330" s="222"/>
    </row>
    <row r="331" spans="2:17" x14ac:dyDescent="0.25">
      <c r="E331" s="60"/>
      <c r="G331" s="223" t="str">
        <f>IFERROR(G316-G329,"Dateneingabe fehlt")</f>
        <v>Dateneingabe fehlt</v>
      </c>
    </row>
    <row r="332" spans="2:17" ht="15.75" thickBot="1" x14ac:dyDescent="0.3"/>
    <row r="333" spans="2:17" ht="15.75" thickTop="1" x14ac:dyDescent="0.25">
      <c r="E333" s="224" t="s">
        <v>2063</v>
      </c>
      <c r="F333" s="225" t="str">
        <f>IFERROR(G331/F316,"Dateneingabe fehlt")</f>
        <v>Dateneingabe fehlt</v>
      </c>
      <c r="G333" s="226" t="str">
        <f>CONCATENATE("€/",IF(L296=0,"Handelseinheit",L296))</f>
        <v>€/Handelseinheit</v>
      </c>
    </row>
    <row r="334" spans="2:17" ht="15.75" thickBot="1" x14ac:dyDescent="0.3">
      <c r="E334" s="465" t="s">
        <v>2019</v>
      </c>
      <c r="F334" s="466"/>
      <c r="G334" s="467"/>
    </row>
    <row r="335" spans="2:17" ht="15.75" thickTop="1" x14ac:dyDescent="0.25">
      <c r="B335" s="14"/>
      <c r="C335" s="14"/>
      <c r="D335" s="14"/>
      <c r="E335" s="14"/>
      <c r="F335" s="14"/>
      <c r="G335" s="236"/>
      <c r="H335" s="14"/>
    </row>
    <row r="337" spans="2:13" ht="15" customHeight="1" x14ac:dyDescent="0.25">
      <c r="B337" s="452" t="s">
        <v>2242</v>
      </c>
      <c r="C337" s="470" t="s">
        <v>1912</v>
      </c>
      <c r="D337" s="472" t="s">
        <v>1911</v>
      </c>
      <c r="E337" s="470" t="s">
        <v>2013</v>
      </c>
      <c r="F337" s="472" t="s">
        <v>2183</v>
      </c>
      <c r="G337" s="476" t="s">
        <v>2184</v>
      </c>
    </row>
    <row r="338" spans="2:13" x14ac:dyDescent="0.25">
      <c r="B338" s="469"/>
      <c r="C338" s="471"/>
      <c r="D338" s="473"/>
      <c r="E338" s="471"/>
      <c r="F338" s="471"/>
      <c r="G338" s="477"/>
    </row>
    <row r="339" spans="2:13" x14ac:dyDescent="0.25">
      <c r="B339" s="166"/>
      <c r="C339" s="167">
        <v>2022</v>
      </c>
      <c r="D339" s="118"/>
      <c r="E339" s="119"/>
      <c r="F339" s="258"/>
      <c r="G339" s="121"/>
      <c r="I339" s="347" t="str">
        <f>IF(M339=1,"Dateneingabe unvollständig","")</f>
        <v/>
      </c>
      <c r="K339" s="5">
        <f>IF(AND(SUM(F339:G339)&lt;&gt;0,OR(B339="",D339="",E339="")),1,IF(AND(SUM(F339:G339)=0,OR(B339&lt;&gt;"",D339&lt;&gt;"",E339&lt;&gt;"")),1,0))</f>
        <v>0</v>
      </c>
      <c r="L339" s="5">
        <f>IF(OR(AND(F339&lt;&gt;0,G339=0),AND(G339&lt;&gt;0,F339=0)),1,0)</f>
        <v>0</v>
      </c>
      <c r="M339" s="5">
        <f>MAX(K339:L339)</f>
        <v>0</v>
      </c>
    </row>
    <row r="340" spans="2:13" x14ac:dyDescent="0.25">
      <c r="B340" s="166"/>
      <c r="C340" s="167">
        <v>2022</v>
      </c>
      <c r="D340" s="118"/>
      <c r="E340" s="119"/>
      <c r="F340" s="258"/>
      <c r="G340" s="121"/>
      <c r="I340" s="347" t="str">
        <f t="shared" ref="I340:I354" si="36">IF(M340=1,"Dateneingabe unvollständig","")</f>
        <v/>
      </c>
      <c r="K340" s="5">
        <f t="shared" ref="K340:K348" si="37">IF(AND(SUM(F340:G340)&lt;&gt;0,OR(B340="",D340="",E340="")),1,IF(AND(SUM(F340:G340)=0,OR(B340&lt;&gt;"",D340&lt;&gt;"",E340&lt;&gt;"")),1,0))</f>
        <v>0</v>
      </c>
      <c r="L340" s="5">
        <f t="shared" ref="L340:L354" si="38">IF(OR(AND(F340&lt;&gt;0,G340=0),AND(G340&lt;&gt;0,F340=0)),1,0)</f>
        <v>0</v>
      </c>
      <c r="M340" s="5">
        <f t="shared" ref="M340:M354" si="39">MAX(K340:L340)</f>
        <v>0</v>
      </c>
    </row>
    <row r="341" spans="2:13" x14ac:dyDescent="0.25">
      <c r="B341" s="166"/>
      <c r="C341" s="167">
        <v>2022</v>
      </c>
      <c r="D341" s="118"/>
      <c r="E341" s="119"/>
      <c r="F341" s="258"/>
      <c r="G341" s="121"/>
      <c r="I341" s="347" t="str">
        <f t="shared" si="36"/>
        <v/>
      </c>
      <c r="K341" s="5">
        <f t="shared" si="37"/>
        <v>0</v>
      </c>
      <c r="L341" s="5">
        <f t="shared" si="38"/>
        <v>0</v>
      </c>
      <c r="M341" s="5">
        <f t="shared" si="39"/>
        <v>0</v>
      </c>
    </row>
    <row r="342" spans="2:13" x14ac:dyDescent="0.25">
      <c r="B342" s="166"/>
      <c r="C342" s="167">
        <v>2022</v>
      </c>
      <c r="D342" s="118"/>
      <c r="E342" s="119"/>
      <c r="F342" s="258"/>
      <c r="G342" s="121"/>
      <c r="I342" s="347" t="str">
        <f t="shared" si="36"/>
        <v/>
      </c>
      <c r="K342" s="5">
        <f t="shared" si="37"/>
        <v>0</v>
      </c>
      <c r="L342" s="5">
        <f t="shared" si="38"/>
        <v>0</v>
      </c>
      <c r="M342" s="5">
        <f t="shared" si="39"/>
        <v>0</v>
      </c>
    </row>
    <row r="343" spans="2:13" x14ac:dyDescent="0.25">
      <c r="B343" s="166"/>
      <c r="C343" s="167">
        <v>2022</v>
      </c>
      <c r="D343" s="118"/>
      <c r="E343" s="119"/>
      <c r="F343" s="258"/>
      <c r="G343" s="121"/>
      <c r="I343" s="347" t="str">
        <f t="shared" si="36"/>
        <v/>
      </c>
      <c r="K343" s="5">
        <f t="shared" si="37"/>
        <v>0</v>
      </c>
      <c r="L343" s="5">
        <f t="shared" si="38"/>
        <v>0</v>
      </c>
      <c r="M343" s="5">
        <f t="shared" si="39"/>
        <v>0</v>
      </c>
    </row>
    <row r="344" spans="2:13" x14ac:dyDescent="0.25">
      <c r="B344" s="166"/>
      <c r="C344" s="167">
        <v>2022</v>
      </c>
      <c r="D344" s="118"/>
      <c r="E344" s="119"/>
      <c r="F344" s="258"/>
      <c r="G344" s="121"/>
      <c r="I344" s="347" t="str">
        <f t="shared" si="36"/>
        <v/>
      </c>
      <c r="K344" s="5">
        <f t="shared" si="37"/>
        <v>0</v>
      </c>
      <c r="L344" s="5">
        <f t="shared" si="38"/>
        <v>0</v>
      </c>
      <c r="M344" s="5">
        <f t="shared" si="39"/>
        <v>0</v>
      </c>
    </row>
    <row r="345" spans="2:13" x14ac:dyDescent="0.25">
      <c r="B345" s="166"/>
      <c r="C345" s="167">
        <v>2022</v>
      </c>
      <c r="D345" s="118"/>
      <c r="E345" s="119"/>
      <c r="F345" s="258"/>
      <c r="G345" s="121"/>
      <c r="I345" s="347" t="str">
        <f t="shared" si="36"/>
        <v/>
      </c>
      <c r="K345" s="5">
        <f t="shared" si="37"/>
        <v>0</v>
      </c>
      <c r="L345" s="5">
        <f t="shared" si="38"/>
        <v>0</v>
      </c>
      <c r="M345" s="5">
        <f t="shared" si="39"/>
        <v>0</v>
      </c>
    </row>
    <row r="346" spans="2:13" x14ac:dyDescent="0.25">
      <c r="B346" s="166"/>
      <c r="C346" s="167">
        <v>2022</v>
      </c>
      <c r="D346" s="118"/>
      <c r="E346" s="119"/>
      <c r="F346" s="258"/>
      <c r="G346" s="121"/>
      <c r="I346" s="347" t="str">
        <f t="shared" si="36"/>
        <v/>
      </c>
      <c r="K346" s="5">
        <f t="shared" si="37"/>
        <v>0</v>
      </c>
      <c r="L346" s="5">
        <f t="shared" si="38"/>
        <v>0</v>
      </c>
      <c r="M346" s="5">
        <f t="shared" si="39"/>
        <v>0</v>
      </c>
    </row>
    <row r="347" spans="2:13" x14ac:dyDescent="0.25">
      <c r="B347" s="166"/>
      <c r="C347" s="167">
        <v>2022</v>
      </c>
      <c r="D347" s="118"/>
      <c r="E347" s="119"/>
      <c r="F347" s="258"/>
      <c r="G347" s="121"/>
      <c r="I347" s="347" t="str">
        <f t="shared" si="36"/>
        <v/>
      </c>
      <c r="K347" s="5">
        <f t="shared" si="37"/>
        <v>0</v>
      </c>
      <c r="L347" s="5">
        <f t="shared" si="38"/>
        <v>0</v>
      </c>
      <c r="M347" s="5">
        <f t="shared" si="39"/>
        <v>0</v>
      </c>
    </row>
    <row r="348" spans="2:13" x14ac:dyDescent="0.25">
      <c r="B348" s="166"/>
      <c r="C348" s="167">
        <v>2022</v>
      </c>
      <c r="D348" s="118"/>
      <c r="E348" s="119"/>
      <c r="F348" s="258"/>
      <c r="G348" s="121"/>
      <c r="I348" s="347" t="str">
        <f t="shared" si="36"/>
        <v/>
      </c>
      <c r="K348" s="5">
        <f t="shared" si="37"/>
        <v>0</v>
      </c>
      <c r="L348" s="5">
        <f t="shared" si="38"/>
        <v>0</v>
      </c>
      <c r="M348" s="5">
        <f t="shared" si="39"/>
        <v>0</v>
      </c>
    </row>
    <row r="349" spans="2:13" x14ac:dyDescent="0.25">
      <c r="B349" s="168" t="s">
        <v>1974</v>
      </c>
      <c r="C349" s="167">
        <v>2022</v>
      </c>
      <c r="D349" s="459" t="s">
        <v>2020</v>
      </c>
      <c r="E349" s="460"/>
      <c r="F349" s="258"/>
      <c r="G349" s="121"/>
      <c r="I349" s="347" t="str">
        <f t="shared" si="36"/>
        <v/>
      </c>
      <c r="L349" s="5">
        <f t="shared" si="38"/>
        <v>0</v>
      </c>
      <c r="M349" s="5">
        <f t="shared" si="39"/>
        <v>0</v>
      </c>
    </row>
    <row r="350" spans="2:13" x14ac:dyDescent="0.25">
      <c r="B350" s="168" t="s">
        <v>1955</v>
      </c>
      <c r="C350" s="167">
        <v>2022</v>
      </c>
      <c r="D350" s="461"/>
      <c r="E350" s="462"/>
      <c r="F350" s="258"/>
      <c r="G350" s="121"/>
      <c r="I350" s="347" t="str">
        <f t="shared" si="36"/>
        <v/>
      </c>
      <c r="L350" s="5">
        <f t="shared" si="38"/>
        <v>0</v>
      </c>
      <c r="M350" s="5">
        <f t="shared" si="39"/>
        <v>0</v>
      </c>
    </row>
    <row r="351" spans="2:13" x14ac:dyDescent="0.25">
      <c r="B351" s="168" t="s">
        <v>1956</v>
      </c>
      <c r="C351" s="167">
        <v>2022</v>
      </c>
      <c r="D351" s="461"/>
      <c r="E351" s="462"/>
      <c r="F351" s="258"/>
      <c r="G351" s="121"/>
      <c r="I351" s="347" t="str">
        <f t="shared" si="36"/>
        <v/>
      </c>
      <c r="L351" s="5">
        <f t="shared" si="38"/>
        <v>0</v>
      </c>
      <c r="M351" s="5">
        <f t="shared" si="39"/>
        <v>0</v>
      </c>
    </row>
    <row r="352" spans="2:13" x14ac:dyDescent="0.25">
      <c r="B352" s="168" t="s">
        <v>1957</v>
      </c>
      <c r="C352" s="167">
        <v>2022</v>
      </c>
      <c r="D352" s="461"/>
      <c r="E352" s="462"/>
      <c r="F352" s="258"/>
      <c r="G352" s="121"/>
      <c r="I352" s="347" t="str">
        <f t="shared" si="36"/>
        <v/>
      </c>
      <c r="L352" s="5">
        <f t="shared" si="38"/>
        <v>0</v>
      </c>
      <c r="M352" s="5">
        <f t="shared" si="39"/>
        <v>0</v>
      </c>
    </row>
    <row r="353" spans="2:17" x14ac:dyDescent="0.25">
      <c r="B353" s="168" t="s">
        <v>1958</v>
      </c>
      <c r="C353" s="167">
        <v>2022</v>
      </c>
      <c r="D353" s="461"/>
      <c r="E353" s="462"/>
      <c r="F353" s="258"/>
      <c r="G353" s="121"/>
      <c r="I353" s="347" t="str">
        <f t="shared" si="36"/>
        <v/>
      </c>
      <c r="L353" s="5">
        <f t="shared" si="38"/>
        <v>0</v>
      </c>
      <c r="M353" s="5">
        <f t="shared" si="39"/>
        <v>0</v>
      </c>
    </row>
    <row r="354" spans="2:17" x14ac:dyDescent="0.25">
      <c r="B354" s="168" t="s">
        <v>1959</v>
      </c>
      <c r="C354" s="167">
        <v>2022</v>
      </c>
      <c r="D354" s="463"/>
      <c r="E354" s="464"/>
      <c r="F354" s="258"/>
      <c r="G354" s="121"/>
      <c r="I354" s="347" t="str">
        <f t="shared" si="36"/>
        <v/>
      </c>
      <c r="L354" s="5">
        <f t="shared" si="38"/>
        <v>0</v>
      </c>
      <c r="M354" s="5">
        <f t="shared" si="39"/>
        <v>0</v>
      </c>
    </row>
    <row r="355" spans="2:17" x14ac:dyDescent="0.25">
      <c r="E355" s="2" t="s">
        <v>1917</v>
      </c>
      <c r="F355" s="123" t="str">
        <f>IF(OR(M355=1,SUM(F339:F354)=0),"Dateneingabe fehlt",SUM(F339:F354))</f>
        <v>Dateneingabe fehlt</v>
      </c>
      <c r="G355" s="180" t="str">
        <f>IF(OR(M355=1,SUM(G339:G354)=0),"Dateneingabe fehlt",SUM(G339:G354))</f>
        <v>Dateneingabe fehlt</v>
      </c>
      <c r="H355" s="176">
        <v>1</v>
      </c>
      <c r="I355" s="346" t="str">
        <f>IF(P357=1,"Bitte Dateneingabe vornehmen","")</f>
        <v/>
      </c>
      <c r="K355" s="178"/>
      <c r="L355" s="178">
        <f>IFERROR(SUM(F355:G355),0)</f>
        <v>0</v>
      </c>
      <c r="M355" s="178">
        <f>MAX(M339:M354)</f>
        <v>0</v>
      </c>
      <c r="O355" s="36">
        <f>M355</f>
        <v>0</v>
      </c>
      <c r="P355" s="36">
        <f>IF(AND(SUM(F355:G355)=0,SUM(F316:G316)&gt;0),1,0)</f>
        <v>0</v>
      </c>
    </row>
    <row r="356" spans="2:17" x14ac:dyDescent="0.25">
      <c r="G356" s="82"/>
      <c r="P356" s="36">
        <f>IF(AND(O294=0,L296&lt;&gt;0,SUM(F355:G355)=0),1,0)</f>
        <v>0</v>
      </c>
    </row>
    <row r="357" spans="2:17" ht="30" x14ac:dyDescent="0.25">
      <c r="E357" s="14"/>
      <c r="F357" s="63" t="s">
        <v>1923</v>
      </c>
      <c r="G357" s="82"/>
      <c r="P357" s="36">
        <f>MAX(P355:P356)</f>
        <v>0</v>
      </c>
    </row>
    <row r="358" spans="2:17" x14ac:dyDescent="0.25">
      <c r="E358" s="2" t="s">
        <v>1920</v>
      </c>
      <c r="F358" s="64">
        <f>F321</f>
        <v>0</v>
      </c>
      <c r="G358" s="82"/>
      <c r="I358" s="346" t="str">
        <f>IF(K358=1,"Bitte Dateneingabe vornehmen","")</f>
        <v/>
      </c>
    </row>
    <row r="359" spans="2:17" x14ac:dyDescent="0.25">
      <c r="E359" s="2" t="s">
        <v>1924</v>
      </c>
      <c r="F359" s="64" t="str">
        <f>F355</f>
        <v>Dateneingabe fehlt</v>
      </c>
      <c r="G359" s="82"/>
    </row>
    <row r="360" spans="2:17" ht="15.75" thickBot="1" x14ac:dyDescent="0.3">
      <c r="E360" s="2" t="s">
        <v>2194</v>
      </c>
      <c r="F360" s="212"/>
      <c r="G360" s="82"/>
      <c r="I360" s="346" t="str">
        <f>IF(OR(P356=1,K360=1),"Bitte Dateneingabe vornehmen","")</f>
        <v/>
      </c>
      <c r="K360" s="5">
        <f>IF(AND(F360="",M355=0,L355&gt;0),1,0)</f>
        <v>0</v>
      </c>
      <c r="L360" s="5">
        <f>IF(OR(M355=1,K360=1),1,0)</f>
        <v>0</v>
      </c>
    </row>
    <row r="361" spans="2:17" ht="15.75" thickTop="1" x14ac:dyDescent="0.25">
      <c r="E361" s="62" t="s">
        <v>1925</v>
      </c>
      <c r="F361" s="179" t="str">
        <f>IFERROR(IF(L361=1,"Dateneingabe fehlt",F358+F359-F360),"Dateneingabe fehlt")</f>
        <v>Dateneingabe fehlt</v>
      </c>
      <c r="G361" s="271" t="str">
        <f>CONCATENATE("in ",IF(L335=0,"Handelseinheit",L335))</f>
        <v>in Handelseinheit</v>
      </c>
      <c r="K361" s="178"/>
      <c r="L361" s="178">
        <f>MAX(L358:L360)</f>
        <v>0</v>
      </c>
      <c r="M361" s="178"/>
      <c r="P361" s="36">
        <f>L361</f>
        <v>0</v>
      </c>
      <c r="Q361" s="238" t="str">
        <f>F361</f>
        <v>Dateneingabe fehlt</v>
      </c>
    </row>
    <row r="362" spans="2:17" ht="15.75" thickBot="1" x14ac:dyDescent="0.3">
      <c r="E362" s="11"/>
      <c r="F362" s="474" t="s">
        <v>2019</v>
      </c>
      <c r="G362" s="475"/>
    </row>
    <row r="363" spans="2:17" ht="15.75" thickTop="1" x14ac:dyDescent="0.25">
      <c r="G363" s="82"/>
    </row>
    <row r="364" spans="2:17" x14ac:dyDescent="0.25">
      <c r="E364" s="11" t="s">
        <v>2180</v>
      </c>
      <c r="G364" s="82"/>
    </row>
    <row r="365" spans="2:17" x14ac:dyDescent="0.25">
      <c r="E365" s="468" t="s">
        <v>1915</v>
      </c>
      <c r="F365" s="468"/>
      <c r="G365" s="141"/>
      <c r="I365" s="404" t="s">
        <v>1985</v>
      </c>
    </row>
    <row r="366" spans="2:17" x14ac:dyDescent="0.25">
      <c r="E366" s="468" t="s">
        <v>1916</v>
      </c>
      <c r="F366" s="468"/>
      <c r="G366" s="141"/>
      <c r="I366" s="404"/>
    </row>
    <row r="367" spans="2:17" x14ac:dyDescent="0.25">
      <c r="E367" s="468" t="s">
        <v>2260</v>
      </c>
      <c r="F367" s="468"/>
      <c r="G367" s="141"/>
      <c r="I367" s="404"/>
    </row>
    <row r="368" spans="2:17" x14ac:dyDescent="0.25">
      <c r="E368" s="59" t="s">
        <v>1918</v>
      </c>
      <c r="F368" s="59"/>
      <c r="G368" s="221">
        <f>SUM(G365:G367)</f>
        <v>0</v>
      </c>
      <c r="H368" s="176">
        <v>2</v>
      </c>
    </row>
    <row r="369" spans="1:15" x14ac:dyDescent="0.25">
      <c r="G369" s="222"/>
    </row>
    <row r="370" spans="1:15" x14ac:dyDescent="0.25">
      <c r="E370" s="60"/>
      <c r="G370" s="223" t="str">
        <f>IFERROR(G355-G368,"Dateneingabe fehlt")</f>
        <v>Dateneingabe fehlt</v>
      </c>
    </row>
    <row r="371" spans="1:15" ht="15.75" thickBot="1" x14ac:dyDescent="0.3"/>
    <row r="372" spans="1:15" ht="15.75" thickTop="1" x14ac:dyDescent="0.25">
      <c r="E372" s="224" t="s">
        <v>2064</v>
      </c>
      <c r="F372" s="225" t="str">
        <f>IFERROR(G370/F355,"Dateneingabe fehlt")</f>
        <v>Dateneingabe fehlt</v>
      </c>
      <c r="G372" s="226" t="str">
        <f>CONCATENATE("€/",IF(L335=0,"Handelseinheit",L335))</f>
        <v>€/Handelseinheit</v>
      </c>
    </row>
    <row r="373" spans="1:15" ht="15.75" thickBot="1" x14ac:dyDescent="0.3">
      <c r="E373" s="465" t="s">
        <v>2019</v>
      </c>
      <c r="F373" s="466"/>
      <c r="G373" s="467"/>
    </row>
    <row r="374" spans="1:15" ht="16.5" thickTop="1" thickBot="1" x14ac:dyDescent="0.3">
      <c r="A374" s="61"/>
      <c r="B374" s="61"/>
      <c r="C374" s="61"/>
      <c r="D374" s="61"/>
      <c r="E374" s="61"/>
      <c r="F374" s="61"/>
      <c r="G374" s="84"/>
      <c r="H374" s="61"/>
    </row>
    <row r="376" spans="1:15" ht="15.75" x14ac:dyDescent="0.25">
      <c r="A376" s="12" t="s">
        <v>1910</v>
      </c>
      <c r="C376" s="11"/>
      <c r="D376" s="2" t="s">
        <v>1945</v>
      </c>
      <c r="E376" s="210"/>
      <c r="F376" s="23" t="s">
        <v>1919</v>
      </c>
      <c r="G376" s="211"/>
      <c r="I376" s="346" t="str">
        <f>IF(O376=1,"Bitte Dateneingabe vornehmen","")</f>
        <v/>
      </c>
      <c r="K376" s="5">
        <f>IF(AND(K398=1,OR(E376="",G376="",AND(L376=1,G378=""))),1,0)</f>
        <v>0</v>
      </c>
      <c r="L376" s="5">
        <f>IF(G376="Sonstige",1,0)</f>
        <v>0</v>
      </c>
      <c r="M376" s="5">
        <f>IF(OR(AND(E376&lt;&gt;0,G376=""),AND(G376&lt;&gt;0,E376="")),1,0)</f>
        <v>0</v>
      </c>
      <c r="N376" s="5">
        <f>IF(AND(E376="",OR(SUM(F398:G398)&gt;0,SUM(F437:G437)&gt;0)),1,0)</f>
        <v>0</v>
      </c>
      <c r="O376" s="36">
        <f>MAX(K376,M376,N376)</f>
        <v>0</v>
      </c>
    </row>
    <row r="377" spans="1:15" ht="6.95" customHeight="1" x14ac:dyDescent="0.25">
      <c r="A377" s="12"/>
      <c r="C377" s="11"/>
      <c r="G377" s="85"/>
    </row>
    <row r="378" spans="1:15" ht="15.75" x14ac:dyDescent="0.25">
      <c r="A378" s="12"/>
      <c r="C378" s="11"/>
      <c r="F378" s="23" t="str">
        <f>IF(L376=1,"Sonstige:","")</f>
        <v/>
      </c>
      <c r="G378" s="348"/>
      <c r="I378" s="346" t="str">
        <f>IF(O378=1,"Bitte Dateneingabe vornehmen","")</f>
        <v/>
      </c>
      <c r="L378" s="5">
        <f>IF(L376=1,G378,G376)</f>
        <v>0</v>
      </c>
      <c r="M378" s="5">
        <f>IF(AND(L376=1,G378=""),1,0)</f>
        <v>0</v>
      </c>
      <c r="O378" s="36">
        <f>M378</f>
        <v>0</v>
      </c>
    </row>
    <row r="380" spans="1:15" ht="15" customHeight="1" x14ac:dyDescent="0.25">
      <c r="B380" s="452" t="s">
        <v>2242</v>
      </c>
      <c r="C380" s="470" t="s">
        <v>1912</v>
      </c>
      <c r="D380" s="472" t="s">
        <v>1911</v>
      </c>
      <c r="E380" s="470" t="s">
        <v>2013</v>
      </c>
      <c r="F380" s="472" t="s">
        <v>2183</v>
      </c>
      <c r="G380" s="476" t="s">
        <v>2184</v>
      </c>
    </row>
    <row r="381" spans="1:15" x14ac:dyDescent="0.25">
      <c r="B381" s="469"/>
      <c r="C381" s="471"/>
      <c r="D381" s="473"/>
      <c r="E381" s="471"/>
      <c r="F381" s="471"/>
      <c r="G381" s="477"/>
    </row>
    <row r="382" spans="1:15" x14ac:dyDescent="0.25">
      <c r="B382" s="166"/>
      <c r="C382" s="167">
        <v>2021</v>
      </c>
      <c r="D382" s="118"/>
      <c r="E382" s="119"/>
      <c r="F382" s="120"/>
      <c r="G382" s="121"/>
      <c r="I382" s="347" t="str">
        <f>IF(M382=1,"Dateneingabe unvollständig","")</f>
        <v/>
      </c>
      <c r="K382" s="5">
        <f>IF(AND(SUM(F382:G382)&lt;&gt;0,OR(B382="",D382="",E382="")),1,IF(AND(SUM(F382:G382)=0,OR(B382&lt;&gt;"",D382&lt;&gt;"",E382&lt;&gt;"")),1,0))</f>
        <v>0</v>
      </c>
      <c r="L382" s="5">
        <f>IF(OR(AND(F382&lt;&gt;0,G382=0),AND(G382&lt;&gt;0,F382=0)),1,0)</f>
        <v>0</v>
      </c>
      <c r="M382" s="5">
        <f>MAX(K382:L382)</f>
        <v>0</v>
      </c>
    </row>
    <row r="383" spans="1:15" x14ac:dyDescent="0.25">
      <c r="B383" s="166"/>
      <c r="C383" s="167">
        <v>2021</v>
      </c>
      <c r="D383" s="118"/>
      <c r="E383" s="119"/>
      <c r="F383" s="120"/>
      <c r="G383" s="121"/>
      <c r="I383" s="347" t="str">
        <f t="shared" ref="I383:I397" si="40">IF(M383=1,"Dateneingabe unvollständig","")</f>
        <v/>
      </c>
      <c r="K383" s="5">
        <f t="shared" ref="K383:K391" si="41">IF(AND(SUM(F383:G383)&lt;&gt;0,OR(B383="",D383="",E383="")),1,IF(AND(SUM(F383:G383)=0,OR(B383&lt;&gt;"",D383&lt;&gt;"",E383&lt;&gt;"")),1,0))</f>
        <v>0</v>
      </c>
      <c r="L383" s="5">
        <f t="shared" ref="L383:L397" si="42">IF(OR(AND(F383&lt;&gt;0,G383=0),AND(G383&lt;&gt;0,F383=0)),1,0)</f>
        <v>0</v>
      </c>
      <c r="M383" s="5">
        <f t="shared" ref="M383:M397" si="43">MAX(K383:L383)</f>
        <v>0</v>
      </c>
    </row>
    <row r="384" spans="1:15" x14ac:dyDescent="0.25">
      <c r="B384" s="166"/>
      <c r="C384" s="167">
        <v>2021</v>
      </c>
      <c r="D384" s="118"/>
      <c r="E384" s="119"/>
      <c r="F384" s="120"/>
      <c r="G384" s="121"/>
      <c r="I384" s="347" t="str">
        <f t="shared" si="40"/>
        <v/>
      </c>
      <c r="K384" s="5">
        <f t="shared" si="41"/>
        <v>0</v>
      </c>
      <c r="L384" s="5">
        <f t="shared" si="42"/>
        <v>0</v>
      </c>
      <c r="M384" s="5">
        <f t="shared" si="43"/>
        <v>0</v>
      </c>
    </row>
    <row r="385" spans="2:16" x14ac:dyDescent="0.25">
      <c r="B385" s="166"/>
      <c r="C385" s="167">
        <v>2021</v>
      </c>
      <c r="D385" s="118"/>
      <c r="E385" s="119"/>
      <c r="F385" s="120"/>
      <c r="G385" s="121"/>
      <c r="I385" s="347" t="str">
        <f t="shared" si="40"/>
        <v/>
      </c>
      <c r="K385" s="5">
        <f t="shared" si="41"/>
        <v>0</v>
      </c>
      <c r="L385" s="5">
        <f t="shared" si="42"/>
        <v>0</v>
      </c>
      <c r="M385" s="5">
        <f t="shared" si="43"/>
        <v>0</v>
      </c>
    </row>
    <row r="386" spans="2:16" x14ac:dyDescent="0.25">
      <c r="B386" s="166"/>
      <c r="C386" s="167">
        <v>2021</v>
      </c>
      <c r="D386" s="118"/>
      <c r="E386" s="119"/>
      <c r="F386" s="120"/>
      <c r="G386" s="121"/>
      <c r="I386" s="347" t="str">
        <f t="shared" si="40"/>
        <v/>
      </c>
      <c r="K386" s="5">
        <f t="shared" si="41"/>
        <v>0</v>
      </c>
      <c r="L386" s="5">
        <f t="shared" si="42"/>
        <v>0</v>
      </c>
      <c r="M386" s="5">
        <f t="shared" si="43"/>
        <v>0</v>
      </c>
    </row>
    <row r="387" spans="2:16" x14ac:dyDescent="0.25">
      <c r="B387" s="166"/>
      <c r="C387" s="167">
        <v>2021</v>
      </c>
      <c r="D387" s="118"/>
      <c r="E387" s="119"/>
      <c r="F387" s="120"/>
      <c r="G387" s="121"/>
      <c r="I387" s="347" t="str">
        <f t="shared" si="40"/>
        <v/>
      </c>
      <c r="K387" s="5">
        <f t="shared" si="41"/>
        <v>0</v>
      </c>
      <c r="L387" s="5">
        <f t="shared" si="42"/>
        <v>0</v>
      </c>
      <c r="M387" s="5">
        <f t="shared" si="43"/>
        <v>0</v>
      </c>
    </row>
    <row r="388" spans="2:16" x14ac:dyDescent="0.25">
      <c r="B388" s="166"/>
      <c r="C388" s="167">
        <v>2021</v>
      </c>
      <c r="D388" s="118"/>
      <c r="E388" s="119"/>
      <c r="F388" s="120"/>
      <c r="G388" s="121"/>
      <c r="I388" s="347" t="str">
        <f t="shared" si="40"/>
        <v/>
      </c>
      <c r="K388" s="5">
        <f t="shared" si="41"/>
        <v>0</v>
      </c>
      <c r="L388" s="5">
        <f t="shared" si="42"/>
        <v>0</v>
      </c>
      <c r="M388" s="5">
        <f t="shared" si="43"/>
        <v>0</v>
      </c>
    </row>
    <row r="389" spans="2:16" x14ac:dyDescent="0.25">
      <c r="B389" s="166"/>
      <c r="C389" s="167">
        <v>2021</v>
      </c>
      <c r="D389" s="118"/>
      <c r="E389" s="119"/>
      <c r="F389" s="120"/>
      <c r="G389" s="121"/>
      <c r="I389" s="347" t="str">
        <f t="shared" si="40"/>
        <v/>
      </c>
      <c r="K389" s="5">
        <f t="shared" si="41"/>
        <v>0</v>
      </c>
      <c r="L389" s="5">
        <f t="shared" si="42"/>
        <v>0</v>
      </c>
      <c r="M389" s="5">
        <f t="shared" si="43"/>
        <v>0</v>
      </c>
    </row>
    <row r="390" spans="2:16" x14ac:dyDescent="0.25">
      <c r="B390" s="166"/>
      <c r="C390" s="167">
        <v>2021</v>
      </c>
      <c r="D390" s="118"/>
      <c r="E390" s="119"/>
      <c r="F390" s="120"/>
      <c r="G390" s="121"/>
      <c r="I390" s="347" t="str">
        <f t="shared" si="40"/>
        <v/>
      </c>
      <c r="K390" s="5">
        <f t="shared" si="41"/>
        <v>0</v>
      </c>
      <c r="L390" s="5">
        <f t="shared" si="42"/>
        <v>0</v>
      </c>
      <c r="M390" s="5">
        <f t="shared" si="43"/>
        <v>0</v>
      </c>
    </row>
    <row r="391" spans="2:16" x14ac:dyDescent="0.25">
      <c r="B391" s="166"/>
      <c r="C391" s="167">
        <v>2021</v>
      </c>
      <c r="D391" s="118"/>
      <c r="E391" s="119"/>
      <c r="F391" s="120"/>
      <c r="G391" s="121"/>
      <c r="I391" s="347" t="str">
        <f t="shared" si="40"/>
        <v/>
      </c>
      <c r="K391" s="5">
        <f t="shared" si="41"/>
        <v>0</v>
      </c>
      <c r="L391" s="5">
        <f t="shared" si="42"/>
        <v>0</v>
      </c>
      <c r="M391" s="5">
        <f t="shared" si="43"/>
        <v>0</v>
      </c>
    </row>
    <row r="392" spans="2:16" x14ac:dyDescent="0.25">
      <c r="B392" s="168" t="s">
        <v>1974</v>
      </c>
      <c r="C392" s="167">
        <v>2021</v>
      </c>
      <c r="D392" s="459" t="s">
        <v>2020</v>
      </c>
      <c r="E392" s="460"/>
      <c r="F392" s="120"/>
      <c r="G392" s="121"/>
      <c r="I392" s="347" t="str">
        <f t="shared" si="40"/>
        <v/>
      </c>
      <c r="L392" s="5">
        <f t="shared" si="42"/>
        <v>0</v>
      </c>
      <c r="M392" s="5">
        <f t="shared" si="43"/>
        <v>0</v>
      </c>
    </row>
    <row r="393" spans="2:16" x14ac:dyDescent="0.25">
      <c r="B393" s="168" t="s">
        <v>1955</v>
      </c>
      <c r="C393" s="167">
        <v>2021</v>
      </c>
      <c r="D393" s="461"/>
      <c r="E393" s="462"/>
      <c r="F393" s="120"/>
      <c r="G393" s="121"/>
      <c r="I393" s="347" t="str">
        <f t="shared" si="40"/>
        <v/>
      </c>
      <c r="L393" s="5">
        <f t="shared" si="42"/>
        <v>0</v>
      </c>
      <c r="M393" s="5">
        <f t="shared" si="43"/>
        <v>0</v>
      </c>
    </row>
    <row r="394" spans="2:16" x14ac:dyDescent="0.25">
      <c r="B394" s="168" t="s">
        <v>1956</v>
      </c>
      <c r="C394" s="167">
        <v>2021</v>
      </c>
      <c r="D394" s="461"/>
      <c r="E394" s="462"/>
      <c r="F394" s="120"/>
      <c r="G394" s="121"/>
      <c r="I394" s="347" t="str">
        <f t="shared" si="40"/>
        <v/>
      </c>
      <c r="L394" s="5">
        <f t="shared" si="42"/>
        <v>0</v>
      </c>
      <c r="M394" s="5">
        <f t="shared" si="43"/>
        <v>0</v>
      </c>
    </row>
    <row r="395" spans="2:16" x14ac:dyDescent="0.25">
      <c r="B395" s="168" t="s">
        <v>1957</v>
      </c>
      <c r="C395" s="167">
        <v>2021</v>
      </c>
      <c r="D395" s="461"/>
      <c r="E395" s="462"/>
      <c r="F395" s="120"/>
      <c r="G395" s="121"/>
      <c r="I395" s="347" t="str">
        <f t="shared" si="40"/>
        <v/>
      </c>
      <c r="L395" s="5">
        <f t="shared" si="42"/>
        <v>0</v>
      </c>
      <c r="M395" s="5">
        <f t="shared" si="43"/>
        <v>0</v>
      </c>
    </row>
    <row r="396" spans="2:16" x14ac:dyDescent="0.25">
      <c r="B396" s="168" t="s">
        <v>1958</v>
      </c>
      <c r="C396" s="167">
        <v>2021</v>
      </c>
      <c r="D396" s="461"/>
      <c r="E396" s="462"/>
      <c r="F396" s="120"/>
      <c r="G396" s="121"/>
      <c r="I396" s="347" t="str">
        <f t="shared" si="40"/>
        <v/>
      </c>
      <c r="L396" s="5">
        <f t="shared" si="42"/>
        <v>0</v>
      </c>
      <c r="M396" s="5">
        <f t="shared" si="43"/>
        <v>0</v>
      </c>
    </row>
    <row r="397" spans="2:16" x14ac:dyDescent="0.25">
      <c r="B397" s="168" t="s">
        <v>1959</v>
      </c>
      <c r="C397" s="167">
        <v>2021</v>
      </c>
      <c r="D397" s="463"/>
      <c r="E397" s="464"/>
      <c r="F397" s="120"/>
      <c r="G397" s="121"/>
      <c r="I397" s="347" t="str">
        <f t="shared" si="40"/>
        <v/>
      </c>
      <c r="L397" s="5">
        <f t="shared" si="42"/>
        <v>0</v>
      </c>
      <c r="M397" s="5">
        <f t="shared" si="43"/>
        <v>0</v>
      </c>
    </row>
    <row r="398" spans="2:16" x14ac:dyDescent="0.25">
      <c r="E398" s="2" t="s">
        <v>1917</v>
      </c>
      <c r="F398" s="123" t="str">
        <f>IF(OR($M$234=1,SUM(F382:F397)=0),"Dateneingabe fehlt",SUM(F382:F397))</f>
        <v>Dateneingabe fehlt</v>
      </c>
      <c r="G398" s="180" t="str">
        <f>IF(OR($M$234=1,SUM(G382:G397)=0),"Dateneingabe fehlt",SUM(G382:G397))</f>
        <v>Dateneingabe fehlt</v>
      </c>
      <c r="H398" s="176">
        <v>1</v>
      </c>
      <c r="I398" s="346" t="str">
        <f>IF(P400=1,"Bitte Dateneingabe vornehmen","")</f>
        <v/>
      </c>
      <c r="K398" s="178"/>
      <c r="L398" s="178">
        <f>IFERROR(SUM(F398:G398),0)</f>
        <v>0</v>
      </c>
      <c r="M398" s="178">
        <f>MAX(M382:M397)</f>
        <v>0</v>
      </c>
      <c r="O398" s="36">
        <f>M398</f>
        <v>0</v>
      </c>
      <c r="P398" s="36">
        <f>IF(AND(SUM(F398:G398)=0,SUM(F437:G437)&gt;0),1,0)</f>
        <v>0</v>
      </c>
    </row>
    <row r="399" spans="2:16" x14ac:dyDescent="0.25">
      <c r="G399" s="82"/>
      <c r="P399" s="36">
        <f>IF(AND(O376=0,L378&lt;&gt;0,SUM(F398:G398)=0),1,0)</f>
        <v>0</v>
      </c>
    </row>
    <row r="400" spans="2:16" ht="30" x14ac:dyDescent="0.25">
      <c r="E400" s="14"/>
      <c r="F400" s="63" t="s">
        <v>1923</v>
      </c>
      <c r="G400" s="82"/>
      <c r="P400" s="36">
        <f>MAX(P398:P399)</f>
        <v>0</v>
      </c>
    </row>
    <row r="401" spans="5:17" x14ac:dyDescent="0.25">
      <c r="E401" s="2" t="s">
        <v>2192</v>
      </c>
      <c r="F401" s="212"/>
      <c r="G401" s="82"/>
      <c r="I401" s="346" t="str">
        <f>IF(OR(P399=1,K401=1),"Bitte Dateneingabe vornehmen","")</f>
        <v/>
      </c>
      <c r="K401" s="5">
        <f>IF(AND(F401="",M398=0,L398&gt;0),1,0)</f>
        <v>0</v>
      </c>
      <c r="L401" s="5">
        <f>IF(OR(M398=1,K401=1),1,0)</f>
        <v>0</v>
      </c>
    </row>
    <row r="402" spans="5:17" x14ac:dyDescent="0.25">
      <c r="E402" s="2" t="s">
        <v>1921</v>
      </c>
      <c r="F402" s="64" t="str">
        <f>F398</f>
        <v>Dateneingabe fehlt</v>
      </c>
      <c r="G402" s="82"/>
    </row>
    <row r="403" spans="5:17" ht="15.75" thickBot="1" x14ac:dyDescent="0.3">
      <c r="E403" s="2" t="s">
        <v>2193</v>
      </c>
      <c r="F403" s="212"/>
      <c r="G403" s="82"/>
      <c r="I403" s="346" t="str">
        <f>IF(OR(P399=1,K403=1),"Bitte Dateneingabe vornehmen","")</f>
        <v/>
      </c>
      <c r="K403" s="5">
        <f>IF(AND(F403="",M398=0,L398&gt;0),1,0)</f>
        <v>0</v>
      </c>
      <c r="L403" s="5">
        <f>IF(OR(M398=1,K403=1),1,0)</f>
        <v>0</v>
      </c>
    </row>
    <row r="404" spans="5:17" ht="15.75" thickTop="1" x14ac:dyDescent="0.25">
      <c r="E404" s="62" t="s">
        <v>1922</v>
      </c>
      <c r="F404" s="179" t="str">
        <f>IFERROR(IF(L404=1,"Dateneingabe fehlt",F401+F402-F403),"Dateneingabe fehlt")</f>
        <v>Dateneingabe fehlt</v>
      </c>
      <c r="G404" s="271" t="str">
        <f>CONCATENATE("in ",IF(L378=0,"Handelseinheit",L378))</f>
        <v>in Handelseinheit</v>
      </c>
      <c r="K404" s="178"/>
      <c r="L404" s="178">
        <f>MAX(L401:L403)</f>
        <v>0</v>
      </c>
      <c r="M404" s="178"/>
      <c r="P404" s="36">
        <f>L404</f>
        <v>0</v>
      </c>
      <c r="Q404" s="238" t="str">
        <f>F404</f>
        <v>Dateneingabe fehlt</v>
      </c>
    </row>
    <row r="405" spans="5:17" ht="15.75" thickBot="1" x14ac:dyDescent="0.3">
      <c r="E405" s="11"/>
      <c r="F405" s="474" t="s">
        <v>2019</v>
      </c>
      <c r="G405" s="475"/>
    </row>
    <row r="406" spans="5:17" ht="15.75" thickTop="1" x14ac:dyDescent="0.25">
      <c r="G406" s="82"/>
    </row>
    <row r="407" spans="5:17" x14ac:dyDescent="0.25">
      <c r="E407" s="11" t="s">
        <v>2180</v>
      </c>
      <c r="G407" s="82"/>
    </row>
    <row r="408" spans="5:17" ht="15" customHeight="1" x14ac:dyDescent="0.25">
      <c r="E408" s="468" t="s">
        <v>1915</v>
      </c>
      <c r="F408" s="468"/>
      <c r="G408" s="141"/>
      <c r="I408" s="404" t="s">
        <v>1985</v>
      </c>
    </row>
    <row r="409" spans="5:17" x14ac:dyDescent="0.25">
      <c r="E409" s="468" t="s">
        <v>1916</v>
      </c>
      <c r="F409" s="468"/>
      <c r="G409" s="141"/>
      <c r="I409" s="404"/>
    </row>
    <row r="410" spans="5:17" x14ac:dyDescent="0.25">
      <c r="E410" s="468" t="s">
        <v>2260</v>
      </c>
      <c r="F410" s="468"/>
      <c r="G410" s="141"/>
      <c r="I410" s="404"/>
    </row>
    <row r="411" spans="5:17" x14ac:dyDescent="0.25">
      <c r="E411" s="59" t="s">
        <v>1918</v>
      </c>
      <c r="F411" s="59"/>
      <c r="G411" s="221">
        <f>SUM(G408:G410)</f>
        <v>0</v>
      </c>
      <c r="H411" s="176">
        <v>2</v>
      </c>
    </row>
    <row r="412" spans="5:17" x14ac:dyDescent="0.25">
      <c r="G412" s="222"/>
    </row>
    <row r="413" spans="5:17" x14ac:dyDescent="0.25">
      <c r="E413" s="60"/>
      <c r="G413" s="223" t="str">
        <f>IFERROR(G398-G411,"Dateneingabe fehlt")</f>
        <v>Dateneingabe fehlt</v>
      </c>
    </row>
    <row r="414" spans="5:17" ht="15.75" thickBot="1" x14ac:dyDescent="0.3"/>
    <row r="415" spans="5:17" ht="15.75" thickTop="1" x14ac:dyDescent="0.25">
      <c r="E415" s="224" t="s">
        <v>2063</v>
      </c>
      <c r="F415" s="225" t="str">
        <f>IFERROR(G413/F398,"Dateneingabe fehlt")</f>
        <v>Dateneingabe fehlt</v>
      </c>
      <c r="G415" s="226" t="str">
        <f>CONCATENATE("€/",IF(L378=0,"Handelseinheit",L378))</f>
        <v>€/Handelseinheit</v>
      </c>
    </row>
    <row r="416" spans="5:17" ht="15.75" thickBot="1" x14ac:dyDescent="0.3">
      <c r="E416" s="465" t="s">
        <v>2019</v>
      </c>
      <c r="F416" s="466"/>
      <c r="G416" s="467"/>
    </row>
    <row r="417" spans="2:13" ht="15.75" thickTop="1" x14ac:dyDescent="0.25">
      <c r="B417" s="14"/>
      <c r="C417" s="14"/>
      <c r="D417" s="14"/>
      <c r="E417" s="14"/>
      <c r="F417" s="14"/>
      <c r="G417" s="236"/>
      <c r="H417" s="14"/>
    </row>
    <row r="419" spans="2:13" ht="15" customHeight="1" x14ac:dyDescent="0.25">
      <c r="B419" s="452" t="s">
        <v>2242</v>
      </c>
      <c r="C419" s="470" t="s">
        <v>1912</v>
      </c>
      <c r="D419" s="472" t="s">
        <v>1911</v>
      </c>
      <c r="E419" s="470" t="s">
        <v>2013</v>
      </c>
      <c r="F419" s="472" t="s">
        <v>2183</v>
      </c>
      <c r="G419" s="476" t="s">
        <v>2184</v>
      </c>
    </row>
    <row r="420" spans="2:13" x14ac:dyDescent="0.25">
      <c r="B420" s="469"/>
      <c r="C420" s="471"/>
      <c r="D420" s="473"/>
      <c r="E420" s="471"/>
      <c r="F420" s="471"/>
      <c r="G420" s="477"/>
    </row>
    <row r="421" spans="2:13" x14ac:dyDescent="0.25">
      <c r="B421" s="166"/>
      <c r="C421" s="167">
        <v>2022</v>
      </c>
      <c r="D421" s="118"/>
      <c r="E421" s="119"/>
      <c r="F421" s="120"/>
      <c r="G421" s="121"/>
      <c r="I421" s="347" t="str">
        <f>IF(M421=1,"Dateneingabe unvollständig","")</f>
        <v/>
      </c>
      <c r="K421" s="5">
        <f>IF(AND(SUM(F421:G421)&lt;&gt;0,OR(B421="",D421="",E421="")),1,IF(AND(SUM(F421:G421)=0,OR(B421&lt;&gt;"",D421&lt;&gt;"",E421&lt;&gt;"")),1,0))</f>
        <v>0</v>
      </c>
      <c r="L421" s="5">
        <f>IF(OR(AND(F421&lt;&gt;0,G421=0),AND(G421&lt;&gt;0,F421=0)),1,0)</f>
        <v>0</v>
      </c>
      <c r="M421" s="5">
        <f>MAX(K421:L421)</f>
        <v>0</v>
      </c>
    </row>
    <row r="422" spans="2:13" x14ac:dyDescent="0.25">
      <c r="B422" s="166"/>
      <c r="C422" s="167">
        <v>2022</v>
      </c>
      <c r="D422" s="118"/>
      <c r="E422" s="119"/>
      <c r="F422" s="120"/>
      <c r="G422" s="121"/>
      <c r="I422" s="347" t="str">
        <f t="shared" ref="I422:I436" si="44">IF(M422=1,"Dateneingabe unvollständig","")</f>
        <v/>
      </c>
      <c r="K422" s="5">
        <f t="shared" ref="K422:K430" si="45">IF(AND(SUM(F422:G422)&lt;&gt;0,OR(B422="",D422="",E422="")),1,IF(AND(SUM(F422:G422)=0,OR(B422&lt;&gt;"",D422&lt;&gt;"",E422&lt;&gt;"")),1,0))</f>
        <v>0</v>
      </c>
      <c r="L422" s="5">
        <f t="shared" ref="L422:L436" si="46">IF(OR(AND(F422&lt;&gt;0,G422=0),AND(G422&lt;&gt;0,F422=0)),1,0)</f>
        <v>0</v>
      </c>
      <c r="M422" s="5">
        <f t="shared" ref="M422:M436" si="47">MAX(K422:L422)</f>
        <v>0</v>
      </c>
    </row>
    <row r="423" spans="2:13" x14ac:dyDescent="0.25">
      <c r="B423" s="166"/>
      <c r="C423" s="167">
        <v>2022</v>
      </c>
      <c r="D423" s="118"/>
      <c r="E423" s="119"/>
      <c r="F423" s="120"/>
      <c r="G423" s="121"/>
      <c r="I423" s="347" t="str">
        <f t="shared" si="44"/>
        <v/>
      </c>
      <c r="K423" s="5">
        <f t="shared" si="45"/>
        <v>0</v>
      </c>
      <c r="L423" s="5">
        <f t="shared" si="46"/>
        <v>0</v>
      </c>
      <c r="M423" s="5">
        <f t="shared" si="47"/>
        <v>0</v>
      </c>
    </row>
    <row r="424" spans="2:13" x14ac:dyDescent="0.25">
      <c r="B424" s="166"/>
      <c r="C424" s="167">
        <v>2022</v>
      </c>
      <c r="D424" s="118"/>
      <c r="E424" s="119"/>
      <c r="F424" s="120"/>
      <c r="G424" s="121"/>
      <c r="I424" s="347" t="str">
        <f t="shared" si="44"/>
        <v/>
      </c>
      <c r="K424" s="5">
        <f t="shared" si="45"/>
        <v>0</v>
      </c>
      <c r="L424" s="5">
        <f t="shared" si="46"/>
        <v>0</v>
      </c>
      <c r="M424" s="5">
        <f t="shared" si="47"/>
        <v>0</v>
      </c>
    </row>
    <row r="425" spans="2:13" x14ac:dyDescent="0.25">
      <c r="B425" s="166"/>
      <c r="C425" s="167">
        <v>2022</v>
      </c>
      <c r="D425" s="118"/>
      <c r="E425" s="119"/>
      <c r="F425" s="120"/>
      <c r="G425" s="121"/>
      <c r="I425" s="347" t="str">
        <f t="shared" si="44"/>
        <v/>
      </c>
      <c r="K425" s="5">
        <f t="shared" si="45"/>
        <v>0</v>
      </c>
      <c r="L425" s="5">
        <f t="shared" si="46"/>
        <v>0</v>
      </c>
      <c r="M425" s="5">
        <f t="shared" si="47"/>
        <v>0</v>
      </c>
    </row>
    <row r="426" spans="2:13" x14ac:dyDescent="0.25">
      <c r="B426" s="166"/>
      <c r="C426" s="167">
        <v>2022</v>
      </c>
      <c r="D426" s="118"/>
      <c r="E426" s="119"/>
      <c r="F426" s="120"/>
      <c r="G426" s="121"/>
      <c r="I426" s="347" t="str">
        <f t="shared" si="44"/>
        <v/>
      </c>
      <c r="K426" s="5">
        <f t="shared" si="45"/>
        <v>0</v>
      </c>
      <c r="L426" s="5">
        <f t="shared" si="46"/>
        <v>0</v>
      </c>
      <c r="M426" s="5">
        <f t="shared" si="47"/>
        <v>0</v>
      </c>
    </row>
    <row r="427" spans="2:13" x14ac:dyDescent="0.25">
      <c r="B427" s="166"/>
      <c r="C427" s="167">
        <v>2022</v>
      </c>
      <c r="D427" s="118"/>
      <c r="E427" s="119"/>
      <c r="F427" s="120"/>
      <c r="G427" s="121"/>
      <c r="I427" s="347" t="str">
        <f t="shared" si="44"/>
        <v/>
      </c>
      <c r="K427" s="5">
        <f t="shared" si="45"/>
        <v>0</v>
      </c>
      <c r="L427" s="5">
        <f t="shared" si="46"/>
        <v>0</v>
      </c>
      <c r="M427" s="5">
        <f t="shared" si="47"/>
        <v>0</v>
      </c>
    </row>
    <row r="428" spans="2:13" x14ac:dyDescent="0.25">
      <c r="B428" s="166"/>
      <c r="C428" s="167">
        <v>2022</v>
      </c>
      <c r="D428" s="118"/>
      <c r="E428" s="119"/>
      <c r="F428" s="120"/>
      <c r="G428" s="121"/>
      <c r="I428" s="347" t="str">
        <f t="shared" si="44"/>
        <v/>
      </c>
      <c r="K428" s="5">
        <f t="shared" si="45"/>
        <v>0</v>
      </c>
      <c r="L428" s="5">
        <f t="shared" si="46"/>
        <v>0</v>
      </c>
      <c r="M428" s="5">
        <f t="shared" si="47"/>
        <v>0</v>
      </c>
    </row>
    <row r="429" spans="2:13" x14ac:dyDescent="0.25">
      <c r="B429" s="166"/>
      <c r="C429" s="167">
        <v>2022</v>
      </c>
      <c r="D429" s="118"/>
      <c r="E429" s="119"/>
      <c r="F429" s="120"/>
      <c r="G429" s="121"/>
      <c r="I429" s="347" t="str">
        <f t="shared" si="44"/>
        <v/>
      </c>
      <c r="K429" s="5">
        <f t="shared" si="45"/>
        <v>0</v>
      </c>
      <c r="L429" s="5">
        <f t="shared" si="46"/>
        <v>0</v>
      </c>
      <c r="M429" s="5">
        <f t="shared" si="47"/>
        <v>0</v>
      </c>
    </row>
    <row r="430" spans="2:13" x14ac:dyDescent="0.25">
      <c r="B430" s="166"/>
      <c r="C430" s="167">
        <v>2022</v>
      </c>
      <c r="D430" s="118"/>
      <c r="E430" s="119"/>
      <c r="F430" s="120"/>
      <c r="G430" s="121"/>
      <c r="I430" s="347" t="str">
        <f t="shared" si="44"/>
        <v/>
      </c>
      <c r="K430" s="5">
        <f t="shared" si="45"/>
        <v>0</v>
      </c>
      <c r="L430" s="5">
        <f t="shared" si="46"/>
        <v>0</v>
      </c>
      <c r="M430" s="5">
        <f t="shared" si="47"/>
        <v>0</v>
      </c>
    </row>
    <row r="431" spans="2:13" x14ac:dyDescent="0.25">
      <c r="B431" s="168" t="s">
        <v>1974</v>
      </c>
      <c r="C431" s="167">
        <v>2022</v>
      </c>
      <c r="D431" s="459" t="s">
        <v>2020</v>
      </c>
      <c r="E431" s="460"/>
      <c r="F431" s="120"/>
      <c r="G431" s="121"/>
      <c r="I431" s="347" t="str">
        <f t="shared" si="44"/>
        <v/>
      </c>
      <c r="L431" s="5">
        <f t="shared" si="46"/>
        <v>0</v>
      </c>
      <c r="M431" s="5">
        <f t="shared" si="47"/>
        <v>0</v>
      </c>
    </row>
    <row r="432" spans="2:13" x14ac:dyDescent="0.25">
      <c r="B432" s="168" t="s">
        <v>1955</v>
      </c>
      <c r="C432" s="167">
        <v>2022</v>
      </c>
      <c r="D432" s="461"/>
      <c r="E432" s="462"/>
      <c r="F432" s="120"/>
      <c r="G432" s="121"/>
      <c r="I432" s="347" t="str">
        <f t="shared" si="44"/>
        <v/>
      </c>
      <c r="L432" s="5">
        <f t="shared" si="46"/>
        <v>0</v>
      </c>
      <c r="M432" s="5">
        <f t="shared" si="47"/>
        <v>0</v>
      </c>
    </row>
    <row r="433" spans="2:17" x14ac:dyDescent="0.25">
      <c r="B433" s="168" t="s">
        <v>1956</v>
      </c>
      <c r="C433" s="167">
        <v>2022</v>
      </c>
      <c r="D433" s="461"/>
      <c r="E433" s="462"/>
      <c r="F433" s="120"/>
      <c r="G433" s="121"/>
      <c r="I433" s="347" t="str">
        <f t="shared" si="44"/>
        <v/>
      </c>
      <c r="L433" s="5">
        <f t="shared" si="46"/>
        <v>0</v>
      </c>
      <c r="M433" s="5">
        <f t="shared" si="47"/>
        <v>0</v>
      </c>
    </row>
    <row r="434" spans="2:17" x14ac:dyDescent="0.25">
      <c r="B434" s="168" t="s">
        <v>1957</v>
      </c>
      <c r="C434" s="167">
        <v>2022</v>
      </c>
      <c r="D434" s="461"/>
      <c r="E434" s="462"/>
      <c r="F434" s="120"/>
      <c r="G434" s="121"/>
      <c r="I434" s="347" t="str">
        <f t="shared" si="44"/>
        <v/>
      </c>
      <c r="L434" s="5">
        <f t="shared" si="46"/>
        <v>0</v>
      </c>
      <c r="M434" s="5">
        <f t="shared" si="47"/>
        <v>0</v>
      </c>
    </row>
    <row r="435" spans="2:17" x14ac:dyDescent="0.25">
      <c r="B435" s="168" t="s">
        <v>1958</v>
      </c>
      <c r="C435" s="167">
        <v>2022</v>
      </c>
      <c r="D435" s="461"/>
      <c r="E435" s="462"/>
      <c r="F435" s="120"/>
      <c r="G435" s="121"/>
      <c r="I435" s="347" t="str">
        <f t="shared" si="44"/>
        <v/>
      </c>
      <c r="L435" s="5">
        <f t="shared" si="46"/>
        <v>0</v>
      </c>
      <c r="M435" s="5">
        <f t="shared" si="47"/>
        <v>0</v>
      </c>
    </row>
    <row r="436" spans="2:17" x14ac:dyDescent="0.25">
      <c r="B436" s="168" t="s">
        <v>1959</v>
      </c>
      <c r="C436" s="167">
        <v>2022</v>
      </c>
      <c r="D436" s="463"/>
      <c r="E436" s="464"/>
      <c r="F436" s="120"/>
      <c r="G436" s="121"/>
      <c r="I436" s="347" t="str">
        <f t="shared" si="44"/>
        <v/>
      </c>
      <c r="L436" s="5">
        <f t="shared" si="46"/>
        <v>0</v>
      </c>
      <c r="M436" s="5">
        <f t="shared" si="47"/>
        <v>0</v>
      </c>
    </row>
    <row r="437" spans="2:17" x14ac:dyDescent="0.25">
      <c r="E437" s="2" t="s">
        <v>1917</v>
      </c>
      <c r="F437" s="123" t="str">
        <f>IF(OR(M437=1,SUM(F421:F436)=0),"Dateneingabe fehlt",SUM(F421:F436))</f>
        <v>Dateneingabe fehlt</v>
      </c>
      <c r="G437" s="180" t="str">
        <f>IF(OR(M437=1,SUM(G421:G436)=0),"Dateneingabe fehlt",SUM(G421:G436))</f>
        <v>Dateneingabe fehlt</v>
      </c>
      <c r="H437" s="176">
        <v>1</v>
      </c>
      <c r="I437" s="346" t="str">
        <f>IF(P439=1,"Bitte Dateneingabe vornehmen","")</f>
        <v/>
      </c>
      <c r="K437" s="178"/>
      <c r="L437" s="178">
        <f>IFERROR(SUM(F437:G437),0)</f>
        <v>0</v>
      </c>
      <c r="M437" s="178">
        <f>MAX(M421:M436)</f>
        <v>0</v>
      </c>
      <c r="O437" s="36">
        <f>M437</f>
        <v>0</v>
      </c>
      <c r="P437" s="36">
        <f>IF(AND(SUM(F437:G437)=0,SUM(F398:G398)&gt;0),1,0)</f>
        <v>0</v>
      </c>
    </row>
    <row r="438" spans="2:17" x14ac:dyDescent="0.25">
      <c r="G438" s="82"/>
      <c r="P438" s="36">
        <f>IF(AND(O376=0,L378&lt;&gt;0,SUM(F437:G437)=0),1,0)</f>
        <v>0</v>
      </c>
    </row>
    <row r="439" spans="2:17" ht="30" x14ac:dyDescent="0.25">
      <c r="E439" s="14"/>
      <c r="F439" s="63" t="s">
        <v>1923</v>
      </c>
      <c r="G439" s="82"/>
      <c r="P439" s="36">
        <f>MAX(P437:P438)</f>
        <v>0</v>
      </c>
    </row>
    <row r="440" spans="2:17" x14ac:dyDescent="0.25">
      <c r="E440" s="2" t="s">
        <v>1920</v>
      </c>
      <c r="F440" s="64">
        <f>F403</f>
        <v>0</v>
      </c>
      <c r="G440" s="82"/>
      <c r="I440" s="346" t="str">
        <f>IF(K440=1,"Bitte Dateneingabe vornehmen","")</f>
        <v/>
      </c>
    </row>
    <row r="441" spans="2:17" x14ac:dyDescent="0.25">
      <c r="E441" s="2" t="s">
        <v>1924</v>
      </c>
      <c r="F441" s="64" t="str">
        <f>F437</f>
        <v>Dateneingabe fehlt</v>
      </c>
      <c r="G441" s="82"/>
    </row>
    <row r="442" spans="2:17" ht="15.75" thickBot="1" x14ac:dyDescent="0.3">
      <c r="E442" s="2" t="s">
        <v>2194</v>
      </c>
      <c r="F442" s="212"/>
      <c r="G442" s="82"/>
      <c r="I442" s="346" t="str">
        <f>IF(OR(P438=1,K442=1),"Bitte Dateneingabe vornehmen","")</f>
        <v/>
      </c>
      <c r="K442" s="5">
        <f>IF(AND(F442="",M437=0,L437&gt;0),1,0)</f>
        <v>0</v>
      </c>
      <c r="L442" s="5">
        <f>IF(OR(M437=1,K442=1),1,0)</f>
        <v>0</v>
      </c>
    </row>
    <row r="443" spans="2:17" ht="15.75" thickTop="1" x14ac:dyDescent="0.25">
      <c r="E443" s="62" t="s">
        <v>1925</v>
      </c>
      <c r="F443" s="179" t="str">
        <f>IFERROR(IF(L443=1,"Dateneingabe fehlt",F440+F441-F442),"Dateneingabe fehlt")</f>
        <v>Dateneingabe fehlt</v>
      </c>
      <c r="G443" s="271" t="str">
        <f>CONCATENATE("in ",IF(L378=0,"Handelseinheit",L378))</f>
        <v>in Handelseinheit</v>
      </c>
      <c r="K443" s="178"/>
      <c r="L443" s="178">
        <f>MAX(L440:L442)</f>
        <v>0</v>
      </c>
      <c r="M443" s="178"/>
      <c r="P443" s="36">
        <f>L443</f>
        <v>0</v>
      </c>
      <c r="Q443" s="238" t="str">
        <f>F443</f>
        <v>Dateneingabe fehlt</v>
      </c>
    </row>
    <row r="444" spans="2:17" ht="15.75" thickBot="1" x14ac:dyDescent="0.3">
      <c r="E444" s="11"/>
      <c r="F444" s="474" t="s">
        <v>2019</v>
      </c>
      <c r="G444" s="475"/>
    </row>
    <row r="445" spans="2:17" ht="15.75" thickTop="1" x14ac:dyDescent="0.25">
      <c r="G445" s="82"/>
    </row>
    <row r="446" spans="2:17" x14ac:dyDescent="0.25">
      <c r="E446" s="11" t="s">
        <v>2180</v>
      </c>
      <c r="G446" s="82"/>
    </row>
    <row r="447" spans="2:17" x14ac:dyDescent="0.25">
      <c r="E447" s="468" t="s">
        <v>1915</v>
      </c>
      <c r="F447" s="468"/>
      <c r="G447" s="141"/>
      <c r="I447" s="404" t="s">
        <v>1985</v>
      </c>
    </row>
    <row r="448" spans="2:17" x14ac:dyDescent="0.25">
      <c r="E448" s="468" t="s">
        <v>1916</v>
      </c>
      <c r="F448" s="468"/>
      <c r="G448" s="141"/>
      <c r="I448" s="404"/>
    </row>
    <row r="449" spans="5:17" x14ac:dyDescent="0.25">
      <c r="E449" s="468" t="s">
        <v>2260</v>
      </c>
      <c r="F449" s="468"/>
      <c r="G449" s="141"/>
      <c r="I449" s="404"/>
    </row>
    <row r="450" spans="5:17" x14ac:dyDescent="0.25">
      <c r="E450" s="59" t="s">
        <v>1918</v>
      </c>
      <c r="F450" s="59"/>
      <c r="G450" s="221">
        <f>SUM(G447:G449)</f>
        <v>0</v>
      </c>
      <c r="H450" s="176">
        <v>2</v>
      </c>
    </row>
    <row r="451" spans="5:17" x14ac:dyDescent="0.25">
      <c r="G451" s="222"/>
    </row>
    <row r="452" spans="5:17" x14ac:dyDescent="0.25">
      <c r="E452" s="60"/>
      <c r="G452" s="223" t="str">
        <f>IFERROR(G437-G450,"Dateneingabe fehlt")</f>
        <v>Dateneingabe fehlt</v>
      </c>
    </row>
    <row r="453" spans="5:17" ht="15.75" thickBot="1" x14ac:dyDescent="0.3"/>
    <row r="454" spans="5:17" ht="15.75" thickTop="1" x14ac:dyDescent="0.25">
      <c r="E454" s="224" t="s">
        <v>2064</v>
      </c>
      <c r="F454" s="225" t="str">
        <f>IFERROR(G452/F437,"Dateneingabe fehlt")</f>
        <v>Dateneingabe fehlt</v>
      </c>
      <c r="G454" s="226" t="str">
        <f>CONCATENATE("€/",IF(L378=0,"Handelseinheit",L378))</f>
        <v>€/Handelseinheit</v>
      </c>
    </row>
    <row r="455" spans="5:17" ht="15.75" thickBot="1" x14ac:dyDescent="0.3">
      <c r="E455" s="465" t="s">
        <v>2019</v>
      </c>
      <c r="F455" s="466"/>
      <c r="G455" s="467"/>
    </row>
    <row r="456" spans="5:17" ht="15.75" thickTop="1" x14ac:dyDescent="0.25">
      <c r="P456" s="36">
        <f>MAX(P1:P443)</f>
        <v>0</v>
      </c>
      <c r="Q456" s="237">
        <f>SUM(Q1:Q443)</f>
        <v>0</v>
      </c>
    </row>
  </sheetData>
  <sheetProtection algorithmName="SHA-512" hashValue="qC29St11eTWtS8zDn84grg9FSxqDk8CxjngxQ+KlvsrrbqnmAdN6LtHbQh5tQ2Ezd3kFhBUgFdociE3DuRo8tw==" saltValue="glIf1bt2abF0VcshlX5E8A==" spinCount="100000" sheet="1" selectLockedCells="1"/>
  <mergeCells count="151">
    <mergeCell ref="E455:G455"/>
    <mergeCell ref="D310:E315"/>
    <mergeCell ref="F323:G323"/>
    <mergeCell ref="E334:G334"/>
    <mergeCell ref="D349:E354"/>
    <mergeCell ref="F362:G362"/>
    <mergeCell ref="E373:G373"/>
    <mergeCell ref="D392:E397"/>
    <mergeCell ref="F405:G405"/>
    <mergeCell ref="E416:G416"/>
    <mergeCell ref="G419:G420"/>
    <mergeCell ref="D380:D381"/>
    <mergeCell ref="E380:E381"/>
    <mergeCell ref="F380:F381"/>
    <mergeCell ref="G380:G381"/>
    <mergeCell ref="E408:F408"/>
    <mergeCell ref="E328:F328"/>
    <mergeCell ref="D337:D338"/>
    <mergeCell ref="E337:E338"/>
    <mergeCell ref="F337:F338"/>
    <mergeCell ref="G337:G338"/>
    <mergeCell ref="E409:F409"/>
    <mergeCell ref="E410:F410"/>
    <mergeCell ref="E365:F365"/>
    <mergeCell ref="B3:G6"/>
    <mergeCell ref="G78:G79"/>
    <mergeCell ref="E100:F100"/>
    <mergeCell ref="E32:F32"/>
    <mergeCell ref="E33:F33"/>
    <mergeCell ref="E34:F34"/>
    <mergeCell ref="E65:F65"/>
    <mergeCell ref="E66:F66"/>
    <mergeCell ref="E67:F67"/>
    <mergeCell ref="C43:C44"/>
    <mergeCell ref="D43:D44"/>
    <mergeCell ref="E43:E44"/>
    <mergeCell ref="F43:F44"/>
    <mergeCell ref="G43:G44"/>
    <mergeCell ref="D22:E27"/>
    <mergeCell ref="E40:G40"/>
    <mergeCell ref="C78:C79"/>
    <mergeCell ref="D78:D79"/>
    <mergeCell ref="E78:E79"/>
    <mergeCell ref="F78:F79"/>
    <mergeCell ref="D10:D11"/>
    <mergeCell ref="E10:E11"/>
    <mergeCell ref="F10:F11"/>
    <mergeCell ref="G10:G11"/>
    <mergeCell ref="C10:C11"/>
    <mergeCell ref="C179:C180"/>
    <mergeCell ref="D179:D180"/>
    <mergeCell ref="E179:E180"/>
    <mergeCell ref="F179:F180"/>
    <mergeCell ref="G111:G112"/>
    <mergeCell ref="E133:F133"/>
    <mergeCell ref="E134:F134"/>
    <mergeCell ref="E135:F135"/>
    <mergeCell ref="C146:C147"/>
    <mergeCell ref="D146:D147"/>
    <mergeCell ref="E146:E147"/>
    <mergeCell ref="F146:F147"/>
    <mergeCell ref="G146:G147"/>
    <mergeCell ref="G179:G180"/>
    <mergeCell ref="C111:C112"/>
    <mergeCell ref="D111:D112"/>
    <mergeCell ref="E111:E112"/>
    <mergeCell ref="F111:F112"/>
    <mergeCell ref="E168:F168"/>
    <mergeCell ref="D55:E60"/>
    <mergeCell ref="E73:G73"/>
    <mergeCell ref="D90:E95"/>
    <mergeCell ref="E108:G108"/>
    <mergeCell ref="E201:F201"/>
    <mergeCell ref="E202:F202"/>
    <mergeCell ref="E203:F203"/>
    <mergeCell ref="C216:C217"/>
    <mergeCell ref="D216:D217"/>
    <mergeCell ref="E216:E217"/>
    <mergeCell ref="F216:F217"/>
    <mergeCell ref="G216:G217"/>
    <mergeCell ref="G255:G256"/>
    <mergeCell ref="E209:G209"/>
    <mergeCell ref="D228:E233"/>
    <mergeCell ref="F241:G241"/>
    <mergeCell ref="E284:F284"/>
    <mergeCell ref="E283:F283"/>
    <mergeCell ref="E285:F285"/>
    <mergeCell ref="C298:C299"/>
    <mergeCell ref="D298:D299"/>
    <mergeCell ref="E298:E299"/>
    <mergeCell ref="E244:F244"/>
    <mergeCell ref="E245:F245"/>
    <mergeCell ref="E246:F246"/>
    <mergeCell ref="E252:G252"/>
    <mergeCell ref="D267:E272"/>
    <mergeCell ref="F280:G280"/>
    <mergeCell ref="E291:G291"/>
    <mergeCell ref="C255:C256"/>
    <mergeCell ref="D255:D256"/>
    <mergeCell ref="E255:E256"/>
    <mergeCell ref="F255:F256"/>
    <mergeCell ref="F298:F299"/>
    <mergeCell ref="G298:G299"/>
    <mergeCell ref="E366:F366"/>
    <mergeCell ref="E367:F367"/>
    <mergeCell ref="E326:F326"/>
    <mergeCell ref="E447:F447"/>
    <mergeCell ref="E448:F448"/>
    <mergeCell ref="E449:F449"/>
    <mergeCell ref="C419:C420"/>
    <mergeCell ref="D419:D420"/>
    <mergeCell ref="E419:E420"/>
    <mergeCell ref="F419:F420"/>
    <mergeCell ref="C337:C338"/>
    <mergeCell ref="C380:C381"/>
    <mergeCell ref="E327:F327"/>
    <mergeCell ref="D431:E436"/>
    <mergeCell ref="F444:G444"/>
    <mergeCell ref="I408:I410"/>
    <mergeCell ref="I447:I449"/>
    <mergeCell ref="B10:B11"/>
    <mergeCell ref="B43:B44"/>
    <mergeCell ref="B78:B79"/>
    <mergeCell ref="B111:B112"/>
    <mergeCell ref="B146:B147"/>
    <mergeCell ref="B179:B180"/>
    <mergeCell ref="B216:B217"/>
    <mergeCell ref="B255:B256"/>
    <mergeCell ref="B298:B299"/>
    <mergeCell ref="B337:B338"/>
    <mergeCell ref="B380:B381"/>
    <mergeCell ref="B419:B420"/>
    <mergeCell ref="I201:I203"/>
    <mergeCell ref="I244:I246"/>
    <mergeCell ref="I283:I285"/>
    <mergeCell ref="I326:I328"/>
    <mergeCell ref="I365:I367"/>
    <mergeCell ref="I32:I34"/>
    <mergeCell ref="I65:I67"/>
    <mergeCell ref="I100:I102"/>
    <mergeCell ref="I133:I135"/>
    <mergeCell ref="I168:I170"/>
    <mergeCell ref="D123:E128"/>
    <mergeCell ref="E141:G141"/>
    <mergeCell ref="D158:E163"/>
    <mergeCell ref="E176:G176"/>
    <mergeCell ref="D191:E196"/>
    <mergeCell ref="E169:F169"/>
    <mergeCell ref="E170:F170"/>
    <mergeCell ref="E101:F101"/>
    <mergeCell ref="E102:F102"/>
  </mergeCells>
  <conditionalFormatting sqref="H1">
    <cfRule type="containsText" dxfId="497" priority="91" operator="containsText" text="Mindestbetroffenheitsgrad erreicht">
      <formula>NOT(ISERROR(SEARCH("Mindestbetroffenheitsgrad erreicht",H1)))</formula>
    </cfRule>
    <cfRule type="containsText" dxfId="496" priority="92" operator="containsText" text="Betroffenheitsgrad zu niedrig">
      <formula>NOT(ISERROR(SEARCH("Betroffenheitsgrad zu niedrig",H1)))</formula>
    </cfRule>
    <cfRule type="containsText" dxfId="495" priority="93" operator="containsText" text="Preissteigerung zu niedrig">
      <formula>NOT(ISERROR(SEARCH("Preissteigerung zu niedrig",H1)))</formula>
    </cfRule>
    <cfRule type="containsText" dxfId="494" priority="94" operator="containsText" text="Mindestpreissteigerung erreicht">
      <formula>NOT(ISERROR(SEARCH("Mindestpreissteigerung erreicht",H1)))</formula>
    </cfRule>
    <cfRule type="containsText" dxfId="493" priority="95" operator="containsText" text="Bagatellgrenze nicht erreicht">
      <formula>NOT(ISERROR(SEARCH("Bagatellgrenze nicht erreicht",H1)))</formula>
    </cfRule>
  </conditionalFormatting>
  <conditionalFormatting sqref="G214">
    <cfRule type="expression" dxfId="492" priority="88">
      <formula>$L$212=1</formula>
    </cfRule>
    <cfRule type="expression" dxfId="491" priority="90">
      <formula>$L$212=1</formula>
    </cfRule>
  </conditionalFormatting>
  <conditionalFormatting sqref="I29:I32 I62:I64 I130:I132 I236:I243 I281:I282 I454:I1048576 I35:I44 I68:I79 I136:I147 I204:I211 I286:I293 I368:I375 I215:I217 I247:I256 I1:I11">
    <cfRule type="containsText" dxfId="490" priority="89" operator="containsText" text="Bitte Dateneingabe vornehmen">
      <formula>NOT(ISERROR(SEARCH("Bitte Dateneingabe vornehmen",I1)))</formula>
    </cfRule>
  </conditionalFormatting>
  <conditionalFormatting sqref="G296">
    <cfRule type="expression" dxfId="489" priority="86">
      <formula>$L$294=1</formula>
    </cfRule>
  </conditionalFormatting>
  <conditionalFormatting sqref="I363:I364">
    <cfRule type="containsText" dxfId="488" priority="87" operator="containsText" text="Bitte Dateneingabe vornehmen">
      <formula>NOT(ISERROR(SEARCH("Bitte Dateneingabe vornehmen",I363)))</formula>
    </cfRule>
  </conditionalFormatting>
  <conditionalFormatting sqref="I445:I446 I450:I453">
    <cfRule type="containsText" dxfId="487" priority="84" operator="containsText" text="Bitte Dateneingabe vornehmen">
      <formula>NOT(ISERROR(SEARCH("Bitte Dateneingabe vornehmen",I445)))</formula>
    </cfRule>
  </conditionalFormatting>
  <conditionalFormatting sqref="G378">
    <cfRule type="expression" dxfId="486" priority="82">
      <formula>$L$376=1</formula>
    </cfRule>
  </conditionalFormatting>
  <conditionalFormatting sqref="I65">
    <cfRule type="containsText" dxfId="485" priority="78" operator="containsText" text="Bitte Dateneingabe vornehmen">
      <formula>NOT(ISERROR(SEARCH("Bitte Dateneingabe vornehmen",I65)))</formula>
    </cfRule>
  </conditionalFormatting>
  <conditionalFormatting sqref="I133">
    <cfRule type="containsText" dxfId="484" priority="76" operator="containsText" text="Bitte Dateneingabe vornehmen">
      <formula>NOT(ISERROR(SEARCH("Bitte Dateneingabe vornehmen",I133)))</formula>
    </cfRule>
  </conditionalFormatting>
  <conditionalFormatting sqref="I283">
    <cfRule type="containsText" dxfId="483" priority="72" operator="containsText" text="Bitte Dateneingabe vornehmen">
      <formula>NOT(ISERROR(SEARCH("Bitte Dateneingabe vornehmen",I283)))</formula>
    </cfRule>
  </conditionalFormatting>
  <conditionalFormatting sqref="I244">
    <cfRule type="containsText" dxfId="482" priority="73" operator="containsText" text="Bitte Dateneingabe vornehmen">
      <formula>NOT(ISERROR(SEARCH("Bitte Dateneingabe vornehmen",I244)))</formula>
    </cfRule>
  </conditionalFormatting>
  <conditionalFormatting sqref="I365">
    <cfRule type="containsText" dxfId="481" priority="70" operator="containsText" text="Bitte Dateneingabe vornehmen">
      <formula>NOT(ISERROR(SEARCH("Bitte Dateneingabe vornehmen",I365)))</formula>
    </cfRule>
  </conditionalFormatting>
  <conditionalFormatting sqref="I447">
    <cfRule type="containsText" dxfId="480" priority="68" operator="containsText" text="Bitte Dateneingabe vornehmen">
      <formula>NOT(ISERROR(SEARCH("Bitte Dateneingabe vornehmen",I447)))</formula>
    </cfRule>
  </conditionalFormatting>
  <conditionalFormatting sqref="I12:I27">
    <cfRule type="containsText" dxfId="479" priority="67" operator="containsText" text="Dateneingabe unvollständig">
      <formula>NOT(ISERROR(SEARCH("Dateneingabe unvollständig",I12)))</formula>
    </cfRule>
  </conditionalFormatting>
  <conditionalFormatting sqref="I45:I60">
    <cfRule type="containsText" dxfId="478" priority="66" operator="containsText" text="Dateneingabe unvollständig">
      <formula>NOT(ISERROR(SEARCH("Dateneingabe unvollständig",I45)))</formula>
    </cfRule>
  </conditionalFormatting>
  <conditionalFormatting sqref="I80:I95">
    <cfRule type="containsText" dxfId="477" priority="65" operator="containsText" text="Dateneingabe unvollständig">
      <formula>NOT(ISERROR(SEARCH("Dateneingabe unvollständig",I80)))</formula>
    </cfRule>
  </conditionalFormatting>
  <conditionalFormatting sqref="I201">
    <cfRule type="containsText" dxfId="476" priority="59" operator="containsText" text="Bitte Dateneingabe vornehmen">
      <formula>NOT(ISERROR(SEARCH("Bitte Dateneingabe vornehmen",I201)))</formula>
    </cfRule>
  </conditionalFormatting>
  <conditionalFormatting sqref="I148:I163">
    <cfRule type="containsText" dxfId="475" priority="61" operator="containsText" text="Dateneingabe unvollständig">
      <formula>NOT(ISERROR(SEARCH("Dateneingabe unvollständig",I148)))</formula>
    </cfRule>
  </conditionalFormatting>
  <conditionalFormatting sqref="I198:I200">
    <cfRule type="containsText" dxfId="474" priority="60" operator="containsText" text="Bitte Dateneingabe vornehmen">
      <formula>NOT(ISERROR(SEARCH("Bitte Dateneingabe vornehmen",I198)))</formula>
    </cfRule>
  </conditionalFormatting>
  <conditionalFormatting sqref="I218:I233">
    <cfRule type="containsText" dxfId="473" priority="57" operator="containsText" text="Dateneingabe unvollständig">
      <formula>NOT(ISERROR(SEARCH("Dateneingabe unvollständig",I218)))</formula>
    </cfRule>
  </conditionalFormatting>
  <conditionalFormatting sqref="I275:I280">
    <cfRule type="containsText" dxfId="472" priority="56" operator="containsText" text="Bitte Dateneingabe vornehmen">
      <formula>NOT(ISERROR(SEARCH("Bitte Dateneingabe vornehmen",I275)))</formula>
    </cfRule>
  </conditionalFormatting>
  <conditionalFormatting sqref="I257:I272">
    <cfRule type="containsText" dxfId="471" priority="55" operator="containsText" text="Dateneingabe unvollständig">
      <formula>NOT(ISERROR(SEARCH("Dateneingabe unvollständig",I257)))</formula>
    </cfRule>
  </conditionalFormatting>
  <conditionalFormatting sqref="I300:I315">
    <cfRule type="containsText" dxfId="470" priority="26" operator="containsText" text="Dateneingabe unvollständig">
      <formula>NOT(ISERROR(SEARCH("Dateneingabe unvollständig",I300)))</formula>
    </cfRule>
  </conditionalFormatting>
  <conditionalFormatting sqref="I357:I361">
    <cfRule type="containsText" dxfId="469" priority="25" operator="containsText" text="Bitte Dateneingabe vornehmen">
      <formula>NOT(ISERROR(SEARCH("Bitte Dateneingabe vornehmen",I357)))</formula>
    </cfRule>
  </conditionalFormatting>
  <conditionalFormatting sqref="I362">
    <cfRule type="containsText" dxfId="468" priority="52" operator="containsText" text="Bitte Dateneingabe vornehmen">
      <formula>NOT(ISERROR(SEARCH("Bitte Dateneingabe vornehmen",I362)))</formula>
    </cfRule>
  </conditionalFormatting>
  <conditionalFormatting sqref="I444">
    <cfRule type="containsText" dxfId="467" priority="48" operator="containsText" text="Bitte Dateneingabe vornehmen">
      <formula>NOT(ISERROR(SEARCH("Bitte Dateneingabe vornehmen",I444)))</formula>
    </cfRule>
  </conditionalFormatting>
  <conditionalFormatting sqref="I294:I296">
    <cfRule type="containsText" dxfId="466" priority="23" operator="containsText" text="Bitte Dateneingabe vornehmen">
      <formula>NOT(ISERROR(SEARCH("Bitte Dateneingabe vornehmen",I294)))</formula>
    </cfRule>
  </conditionalFormatting>
  <conditionalFormatting sqref="I212:I214">
    <cfRule type="containsText" dxfId="465" priority="45" operator="containsText" text="Bitte Dateneingabe vornehmen">
      <formula>NOT(ISERROR(SEARCH("Bitte Dateneingabe vornehmen",I212)))</formula>
    </cfRule>
  </conditionalFormatting>
  <conditionalFormatting sqref="I439:I443">
    <cfRule type="containsText" dxfId="464" priority="16" operator="containsText" text="Bitte Dateneingabe vornehmen">
      <formula>NOT(ISERROR(SEARCH("Bitte Dateneingabe vornehmen",I439)))</formula>
    </cfRule>
  </conditionalFormatting>
  <conditionalFormatting sqref="I437">
    <cfRule type="containsText" dxfId="463" priority="11" operator="containsText" text="Bitte Dateneingabe vornehmen">
      <formula>NOT(ISERROR(SEARCH("Bitte Dateneingabe vornehmen",I437)))</formula>
    </cfRule>
  </conditionalFormatting>
  <conditionalFormatting sqref="I234:I235">
    <cfRule type="containsText" dxfId="462" priority="42" operator="containsText" text="Bitte Dateneingabe vornehmen">
      <formula>NOT(ISERROR(SEARCH("Bitte Dateneingabe vornehmen",I234)))</formula>
    </cfRule>
  </conditionalFormatting>
  <conditionalFormatting sqref="I316:I317">
    <cfRule type="containsText" dxfId="461" priority="22" operator="containsText" text="Bitte Dateneingabe vornehmen">
      <formula>NOT(ISERROR(SEARCH("Bitte Dateneingabe vornehmen",I316)))</formula>
    </cfRule>
  </conditionalFormatting>
  <conditionalFormatting sqref="I438">
    <cfRule type="containsText" dxfId="460" priority="12" operator="containsText" text="Bitte Dateneingabe vornehmen">
      <formula>NOT(ISERROR(SEARCH("Bitte Dateneingabe vornehmen",I438)))</formula>
    </cfRule>
  </conditionalFormatting>
  <conditionalFormatting sqref="I274">
    <cfRule type="containsText" dxfId="459" priority="38" operator="containsText" text="Bitte Dateneingabe vornehmen">
      <formula>NOT(ISERROR(SEARCH("Bitte Dateneingabe vornehmen",I274)))</formula>
    </cfRule>
  </conditionalFormatting>
  <conditionalFormatting sqref="I273">
    <cfRule type="containsText" dxfId="458" priority="37" operator="containsText" text="Bitte Dateneingabe vornehmen">
      <formula>NOT(ISERROR(SEARCH("Bitte Dateneingabe vornehmen",I273)))</formula>
    </cfRule>
  </conditionalFormatting>
  <conditionalFormatting sqref="I165:I168 I171:I180">
    <cfRule type="containsText" dxfId="457" priority="4" operator="containsText" text="Bitte Dateneingabe vornehmen">
      <formula>NOT(ISERROR(SEARCH("Bitte Dateneingabe vornehmen",I165)))</formula>
    </cfRule>
  </conditionalFormatting>
  <conditionalFormatting sqref="I28">
    <cfRule type="containsText" dxfId="456" priority="10" operator="containsText" text="Bitte Dateneingabe vornehmen">
      <formula>NOT(ISERROR(SEARCH("Bitte Dateneingabe vornehmen",I28)))</formula>
    </cfRule>
  </conditionalFormatting>
  <conditionalFormatting sqref="I318:I325 I297:I299 I329:I338">
    <cfRule type="containsText" dxfId="455" priority="28" operator="containsText" text="Bitte Dateneingabe vornehmen">
      <formula>NOT(ISERROR(SEARCH("Bitte Dateneingabe vornehmen",I297)))</formula>
    </cfRule>
  </conditionalFormatting>
  <conditionalFormatting sqref="I326">
    <cfRule type="containsText" dxfId="454" priority="27" operator="containsText" text="Bitte Dateneingabe vornehmen">
      <formula>NOT(ISERROR(SEARCH("Bitte Dateneingabe vornehmen",I326)))</formula>
    </cfRule>
  </conditionalFormatting>
  <conditionalFormatting sqref="I339:I354">
    <cfRule type="containsText" dxfId="453" priority="24" operator="containsText" text="Dateneingabe unvollständig">
      <formula>NOT(ISERROR(SEARCH("Dateneingabe unvollständig",I339)))</formula>
    </cfRule>
  </conditionalFormatting>
  <conditionalFormatting sqref="I356">
    <cfRule type="containsText" dxfId="452" priority="21" operator="containsText" text="Bitte Dateneingabe vornehmen">
      <formula>NOT(ISERROR(SEARCH("Bitte Dateneingabe vornehmen",I356)))</formula>
    </cfRule>
  </conditionalFormatting>
  <conditionalFormatting sqref="I355">
    <cfRule type="containsText" dxfId="451" priority="20" operator="containsText" text="Bitte Dateneingabe vornehmen">
      <formula>NOT(ISERROR(SEARCH("Bitte Dateneingabe vornehmen",I355)))</formula>
    </cfRule>
  </conditionalFormatting>
  <conditionalFormatting sqref="I197">
    <cfRule type="containsText" dxfId="450" priority="1" operator="containsText" text="Bitte Dateneingabe vornehmen">
      <formula>NOT(ISERROR(SEARCH("Bitte Dateneingabe vornehmen",I197)))</formula>
    </cfRule>
  </conditionalFormatting>
  <conditionalFormatting sqref="I400:I407 I379:I381 I411:I420">
    <cfRule type="containsText" dxfId="449" priority="19" operator="containsText" text="Bitte Dateneingabe vornehmen">
      <formula>NOT(ISERROR(SEARCH("Bitte Dateneingabe vornehmen",I379)))</formula>
    </cfRule>
  </conditionalFormatting>
  <conditionalFormatting sqref="I408">
    <cfRule type="containsText" dxfId="448" priority="18" operator="containsText" text="Bitte Dateneingabe vornehmen">
      <formula>NOT(ISERROR(SEARCH("Bitte Dateneingabe vornehmen",I408)))</formula>
    </cfRule>
  </conditionalFormatting>
  <conditionalFormatting sqref="I382:I397">
    <cfRule type="containsText" dxfId="447" priority="17" operator="containsText" text="Dateneingabe unvollständig">
      <formula>NOT(ISERROR(SEARCH("Dateneingabe unvollständig",I382)))</formula>
    </cfRule>
  </conditionalFormatting>
  <conditionalFormatting sqref="I421:I436">
    <cfRule type="containsText" dxfId="446" priority="15" operator="containsText" text="Dateneingabe unvollständig">
      <formula>NOT(ISERROR(SEARCH("Dateneingabe unvollständig",I421)))</formula>
    </cfRule>
  </conditionalFormatting>
  <conditionalFormatting sqref="I376:I378">
    <cfRule type="containsText" dxfId="445" priority="14" operator="containsText" text="Bitte Dateneingabe vornehmen">
      <formula>NOT(ISERROR(SEARCH("Bitte Dateneingabe vornehmen",I376)))</formula>
    </cfRule>
  </conditionalFormatting>
  <conditionalFormatting sqref="I398:I399">
    <cfRule type="containsText" dxfId="444" priority="13" operator="containsText" text="Bitte Dateneingabe vornehmen">
      <formula>NOT(ISERROR(SEARCH("Bitte Dateneingabe vornehmen",I398)))</formula>
    </cfRule>
  </conditionalFormatting>
  <conditionalFormatting sqref="I61">
    <cfRule type="containsText" dxfId="443" priority="9" operator="containsText" text="Bitte Dateneingabe vornehmen">
      <formula>NOT(ISERROR(SEARCH("Bitte Dateneingabe vornehmen",I61)))</formula>
    </cfRule>
  </conditionalFormatting>
  <conditionalFormatting sqref="I97:I100 I103:I112">
    <cfRule type="containsText" dxfId="442" priority="8" operator="containsText" text="Bitte Dateneingabe vornehmen">
      <formula>NOT(ISERROR(SEARCH("Bitte Dateneingabe vornehmen",I97)))</formula>
    </cfRule>
  </conditionalFormatting>
  <conditionalFormatting sqref="I113:I128">
    <cfRule type="containsText" dxfId="441" priority="7" operator="containsText" text="Dateneingabe unvollständig">
      <formula>NOT(ISERROR(SEARCH("Dateneingabe unvollständig",I113)))</formula>
    </cfRule>
  </conditionalFormatting>
  <conditionalFormatting sqref="I96">
    <cfRule type="containsText" dxfId="440" priority="6" operator="containsText" text="Bitte Dateneingabe vornehmen">
      <formula>NOT(ISERROR(SEARCH("Bitte Dateneingabe vornehmen",I96)))</formula>
    </cfRule>
  </conditionalFormatting>
  <conditionalFormatting sqref="I129">
    <cfRule type="containsText" dxfId="439" priority="5" operator="containsText" text="Bitte Dateneingabe vornehmen">
      <formula>NOT(ISERROR(SEARCH("Bitte Dateneingabe vornehmen",I129)))</formula>
    </cfRule>
  </conditionalFormatting>
  <conditionalFormatting sqref="I181:I196">
    <cfRule type="containsText" dxfId="438" priority="3" operator="containsText" text="Dateneingabe unvollständig">
      <formula>NOT(ISERROR(SEARCH("Dateneingabe unvollständig",I181)))</formula>
    </cfRule>
  </conditionalFormatting>
  <conditionalFormatting sqref="I164">
    <cfRule type="containsText" dxfId="437" priority="2" operator="containsText" text="Bitte Dateneingabe vornehmen">
      <formula>NOT(ISERROR(SEARCH("Bitte Dateneingabe vornehmen",I164)))</formula>
    </cfRule>
  </conditionalFormatting>
  <dataValidations count="1">
    <dataValidation type="decimal" operator="greaterThanOrEqual" allowBlank="1" showInputMessage="1" showErrorMessage="1" errorTitle="Bitte Eingabe überprüfen" error="Bitte nur positive Zahlen eingeben." sqref="F45:G60 G32:G34 G447:G449 G65:G67 F80:G95 G100:G102 F113:G128 G133:G136 F148:G163 G168:G170 F181:G196 G201:G203 F218:G233 F237 F239 G244:G246 F257:G272 F278 G283:G285 F300:G315 F319 F321 G326:G328 F339:G354 F360 G365:G367 F382:G397 F401 F403 G408:G410 F421:G436 F442 F12:G27">
      <formula1>0</formula1>
    </dataValidation>
  </dataValidations>
  <pageMargins left="0.78740157480314965" right="0.39370078740157483" top="0.59055118110236227" bottom="0.39370078740157483" header="0.19685039370078741" footer="0.31496062992125984"/>
  <pageSetup paperSize="9" scale="62" fitToHeight="0" orientation="portrait" horizontalDpi="1200" verticalDpi="1200" r:id="rId1"/>
  <headerFooter>
    <oddHeader>&amp;L&amp;"-,Fett"&amp;14Berechnungshilfe "Sächsisches Härtefallprogramm Energie für Unternehmen (Modul 2022)"&amp;R&amp;G</oddHeader>
    <oddFooter>Seite &amp;P von &amp;N</oddFooter>
  </headerFooter>
  <rowBreaks count="5" manualBreakCount="5">
    <brk id="75" max="7" man="1"/>
    <brk id="143" max="7" man="1"/>
    <brk id="211" max="7" man="1"/>
    <brk id="293" max="7" man="1"/>
    <brk id="374" max="7" man="1"/>
  </rowBreaks>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I_SV!$C$3:$C$11</xm:f>
          </x14:formula1>
          <xm:sqref>G212 G294 G376</xm:sqref>
        </x14:dataValidation>
        <x14:dataValidation type="list" allowBlank="1" showInputMessage="1" showErrorMessage="1">
          <x14:formula1>
            <xm:f>I_SV!$A$17:$A$22</xm:f>
          </x14:formula1>
          <xm:sqref>B12:B21 B45:B54 B80:B89 B113:B122 B148:B157 B181:B190 B218:B227 B257:B266 B300:B309 B339:B348 B382:B391 B421:B430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theme="9" tint="0.79998168889431442"/>
    <pageSetUpPr fitToPage="1"/>
  </sheetPr>
  <dimension ref="A1:N86"/>
  <sheetViews>
    <sheetView showGridLines="0" zoomScaleNormal="100" workbookViewId="0">
      <selection activeCell="P11" sqref="P11"/>
    </sheetView>
  </sheetViews>
  <sheetFormatPr baseColWidth="10" defaultColWidth="9.140625" defaultRowHeight="15" x14ac:dyDescent="0.25"/>
  <cols>
    <col min="1" max="1" width="61.28515625" style="2" customWidth="1"/>
    <col min="2" max="2" width="22.28515625" style="2" customWidth="1"/>
    <col min="3" max="3" width="2.85546875" style="2" customWidth="1"/>
    <col min="4" max="4" width="22.28515625" style="2" customWidth="1"/>
    <col min="5" max="5" width="2.85546875" style="2" customWidth="1"/>
    <col min="6" max="6" width="22.28515625" style="2" customWidth="1"/>
    <col min="7" max="7" width="2.5703125" style="2" customWidth="1"/>
    <col min="8" max="8" width="38.85546875" style="2" customWidth="1"/>
    <col min="9" max="9" width="2.140625" style="2" customWidth="1"/>
    <col min="10" max="10" width="31.140625" style="334" customWidth="1"/>
    <col min="11" max="11" width="4.85546875" style="4" customWidth="1"/>
    <col min="12" max="12" width="9.140625" style="5" hidden="1" customWidth="1"/>
    <col min="13" max="13" width="9.140625" style="6" hidden="1" customWidth="1"/>
    <col min="14" max="14" width="9.140625" style="5" hidden="1" customWidth="1"/>
    <col min="15" max="16384" width="9.140625" style="2"/>
  </cols>
  <sheetData>
    <row r="1" spans="1:14" ht="18.75" x14ac:dyDescent="0.25">
      <c r="A1" s="13" t="s">
        <v>2269</v>
      </c>
      <c r="G1" s="23"/>
      <c r="J1" s="23" t="str">
        <f>Stammdaten!AN1</f>
        <v>V. 1.0.2</v>
      </c>
      <c r="L1" s="314"/>
      <c r="M1" s="315"/>
      <c r="N1" s="315"/>
    </row>
    <row r="3" spans="1:14" ht="36.75" customHeight="1" thickBot="1" x14ac:dyDescent="0.3">
      <c r="A3" s="316"/>
      <c r="B3" s="317"/>
      <c r="C3" s="317"/>
      <c r="D3" s="317">
        <v>2021</v>
      </c>
      <c r="E3" s="317"/>
      <c r="F3" s="317">
        <v>2022</v>
      </c>
      <c r="G3" s="318"/>
      <c r="H3" s="319" t="s">
        <v>19</v>
      </c>
      <c r="I3" s="319"/>
      <c r="J3" s="320" t="s">
        <v>3</v>
      </c>
    </row>
    <row r="4" spans="1:14" ht="16.5" thickTop="1" x14ac:dyDescent="0.25">
      <c r="B4" s="8"/>
      <c r="C4" s="8"/>
      <c r="D4" s="8"/>
      <c r="E4" s="8"/>
      <c r="F4" s="8"/>
      <c r="J4" s="321"/>
    </row>
    <row r="5" spans="1:14" ht="15.75" x14ac:dyDescent="0.25">
      <c r="A5" s="7" t="s">
        <v>18</v>
      </c>
      <c r="B5" s="322"/>
      <c r="C5" s="323"/>
      <c r="D5" s="108">
        <f>Betriebsstätten!I37</f>
        <v>0</v>
      </c>
      <c r="E5" s="324"/>
      <c r="F5" s="108">
        <f>Betriebsstätten!J37</f>
        <v>0</v>
      </c>
      <c r="H5" s="482" t="s">
        <v>2186</v>
      </c>
      <c r="J5" s="321"/>
    </row>
    <row r="6" spans="1:14" ht="15.75" x14ac:dyDescent="0.25">
      <c r="A6" s="2" t="s">
        <v>2185</v>
      </c>
      <c r="B6" s="322"/>
      <c r="C6" s="323"/>
      <c r="D6" s="108">
        <f>Betriebsstätten!G37</f>
        <v>0</v>
      </c>
      <c r="E6" s="324"/>
      <c r="F6" s="108">
        <f>Betriebsstätten!H37</f>
        <v>0</v>
      </c>
      <c r="H6" s="482"/>
      <c r="J6" s="321"/>
    </row>
    <row r="7" spans="1:14" ht="15.75" x14ac:dyDescent="0.25">
      <c r="A7" s="2" t="s">
        <v>2023</v>
      </c>
      <c r="B7" s="322"/>
      <c r="C7" s="325"/>
      <c r="D7" s="326" t="str">
        <f>IF(D5=0,"Dateneingabe fehlt",IF(ISERROR(D5/D6),"Dateneingabe fehlt",D5/D6))</f>
        <v>Dateneingabe fehlt</v>
      </c>
      <c r="E7" s="326"/>
      <c r="F7" s="326" t="str">
        <f>IF(F5=0,"Dateneingabe fehlt",IF(ISERROR(F5/F6),"Dateneingabe fehlt",F5/F6))</f>
        <v>Dateneingabe fehlt</v>
      </c>
      <c r="H7" s="10"/>
      <c r="J7" s="321"/>
    </row>
    <row r="8" spans="1:14" ht="15.75" x14ac:dyDescent="0.25">
      <c r="A8" s="2" t="s">
        <v>2154</v>
      </c>
      <c r="B8" s="491" t="str">
        <f>IF(ISERROR(D7/F7),"",IF(F7&lt;=((3*D7)/(1+3*D7)),"Leistungsschädliche Preisweitergabe in 2022 liegt vor","Keine leistungsschädliche Preisweitergabe in 2022"))</f>
        <v/>
      </c>
      <c r="C8" s="491"/>
      <c r="D8" s="491"/>
      <c r="E8" s="491"/>
      <c r="F8" s="491"/>
      <c r="J8" s="321"/>
      <c r="M8" s="6" t="str">
        <f>IF(ISERROR(D7/F7),"Dateneingabe fehlt",IF(F7&lt;=((3*D7)/(1+3*D7)),1,0))</f>
        <v>Dateneingabe fehlt</v>
      </c>
    </row>
    <row r="9" spans="1:14" ht="6.95" customHeight="1" x14ac:dyDescent="0.25">
      <c r="B9" s="322"/>
      <c r="C9" s="322"/>
      <c r="E9" s="327"/>
      <c r="F9" s="327"/>
      <c r="H9" s="328"/>
      <c r="J9" s="321"/>
    </row>
    <row r="10" spans="1:14" ht="15.75" x14ac:dyDescent="0.25">
      <c r="A10" s="2" t="s">
        <v>1984</v>
      </c>
      <c r="B10" s="490" t="str">
        <f>IF(M10=1,"Genereller Leistungsausschluss (vgl. Zeilen 29 bis 41 im Tabellenblatt 'Stammdaten')","")</f>
        <v/>
      </c>
      <c r="C10" s="490"/>
      <c r="D10" s="490"/>
      <c r="E10" s="490"/>
      <c r="F10" s="490"/>
      <c r="G10" s="490"/>
      <c r="H10" s="490"/>
      <c r="J10" s="321"/>
      <c r="M10" s="6">
        <f>IF(Stammdaten!BD43=1,0,IF(Stammdaten!BE43=1,1,0))</f>
        <v>0</v>
      </c>
    </row>
    <row r="11" spans="1:14" ht="15.75" x14ac:dyDescent="0.25">
      <c r="A11" s="10"/>
      <c r="B11" s="490" t="str">
        <f>IF(M11=1,"Unternehmen in Schwierigkeiten (vgl. Zeile 45 im Tabellenblatt 'Stammdaten')","")</f>
        <v/>
      </c>
      <c r="C11" s="490"/>
      <c r="D11" s="490"/>
      <c r="E11" s="490"/>
      <c r="F11" s="490"/>
      <c r="G11" s="490"/>
      <c r="H11" s="490"/>
      <c r="J11" s="321"/>
      <c r="M11" s="6">
        <f>IF(Stammdaten!BD45=1,0,IF(Stammdaten!BE45=1,1,0))</f>
        <v>0</v>
      </c>
    </row>
    <row r="12" spans="1:14" ht="15.75" x14ac:dyDescent="0.25">
      <c r="A12" s="10"/>
      <c r="B12" s="490" t="str">
        <f>IF(M12=1,"Großbetrieb (vgl. Zeile 75 im Tabellenblatt 'Stammdaten')","")</f>
        <v/>
      </c>
      <c r="C12" s="490"/>
      <c r="D12" s="490"/>
      <c r="E12" s="490"/>
      <c r="F12" s="490"/>
      <c r="G12" s="490"/>
      <c r="H12" s="490"/>
      <c r="J12" s="321"/>
      <c r="M12" s="6">
        <f>IF(Stammdaten!BF75=4,1,0)</f>
        <v>0</v>
      </c>
    </row>
    <row r="13" spans="1:14" ht="6.95" customHeight="1" thickBot="1" x14ac:dyDescent="0.3">
      <c r="A13" s="61"/>
      <c r="B13" s="61"/>
      <c r="C13" s="61"/>
      <c r="D13" s="61"/>
      <c r="E13" s="61"/>
      <c r="F13" s="61"/>
      <c r="G13" s="61"/>
      <c r="H13" s="61"/>
      <c r="J13" s="329"/>
      <c r="L13" s="5">
        <f>MAX(M8:M12)</f>
        <v>0</v>
      </c>
      <c r="M13" s="6">
        <f>MAX(M10:M12)</f>
        <v>0</v>
      </c>
    </row>
    <row r="14" spans="1:14" ht="6.95" customHeight="1" x14ac:dyDescent="0.25">
      <c r="J14" s="329"/>
    </row>
    <row r="15" spans="1:14" ht="18.75" x14ac:dyDescent="0.25">
      <c r="A15" s="13" t="s">
        <v>1904</v>
      </c>
      <c r="H15" s="10"/>
      <c r="J15" s="321"/>
    </row>
    <row r="16" spans="1:14" ht="6.95" customHeight="1" x14ac:dyDescent="0.25">
      <c r="H16" s="10"/>
      <c r="J16" s="321"/>
    </row>
    <row r="17" spans="1:14" ht="15.75" x14ac:dyDescent="0.25">
      <c r="A17" s="11" t="s">
        <v>0</v>
      </c>
      <c r="H17" s="10"/>
      <c r="J17" s="321"/>
    </row>
    <row r="18" spans="1:14" ht="15.75" x14ac:dyDescent="0.25">
      <c r="A18" s="2" t="s">
        <v>4</v>
      </c>
      <c r="C18" s="330"/>
      <c r="D18" s="76" t="str">
        <f>Kostenaufstellungen!F39</f>
        <v>Dateneingabe fehlt</v>
      </c>
      <c r="E18" s="18"/>
      <c r="F18" s="76" t="str">
        <f>Kostenaufstellungen!F72</f>
        <v>Dateneingabe fehlt</v>
      </c>
      <c r="H18" s="487" t="s">
        <v>2187</v>
      </c>
      <c r="I18" s="331"/>
      <c r="J18" s="332"/>
    </row>
    <row r="19" spans="1:14" ht="15.75" x14ac:dyDescent="0.25">
      <c r="A19" s="2" t="s">
        <v>1</v>
      </c>
      <c r="C19" s="333"/>
      <c r="D19" s="77" t="str">
        <f>IF(Kostenaufstellungen!F28=0,"Dateneingabe fehlt",Kostenaufstellungen!F28)</f>
        <v>Dateneingabe fehlt</v>
      </c>
      <c r="E19" s="87"/>
      <c r="F19" s="77" t="str">
        <f>IF(Kostenaufstellungen!F61=0,"Dateneingabe fehlt",Kostenaufstellungen!F61)</f>
        <v>Dateneingabe fehlt</v>
      </c>
      <c r="H19" s="487"/>
      <c r="J19" s="321"/>
    </row>
    <row r="20" spans="1:14" ht="15.75" x14ac:dyDescent="0.25">
      <c r="A20" s="2" t="s">
        <v>2024</v>
      </c>
      <c r="D20" s="10"/>
      <c r="E20" s="10"/>
      <c r="F20" s="88" t="str">
        <f>IF($F$7="Dateneingabe fehlt","Dateneingabe fehlt",IF(ISERROR(F18/D18),"Dateneingabe fehlt",F18/D18))</f>
        <v>Dateneingabe fehlt</v>
      </c>
      <c r="H20" s="159" t="str">
        <f>IF(F20="Dateneingabe fehlt","",IF(F20&gt;=3,"Mindestpreissteigerung erreicht","Preissteigerung zu niedrig"))</f>
        <v/>
      </c>
      <c r="J20" s="321"/>
      <c r="M20" s="6">
        <f>IF(F20&gt;=3,0,1)</f>
        <v>0</v>
      </c>
      <c r="N20" s="5">
        <f>IF(F20="Dateneingabe fehlt",1,0)</f>
        <v>1</v>
      </c>
    </row>
    <row r="21" spans="1:14" ht="15.75" x14ac:dyDescent="0.25">
      <c r="A21" s="2" t="s">
        <v>2025</v>
      </c>
      <c r="D21" s="10"/>
      <c r="E21" s="10"/>
      <c r="F21" s="88" t="str">
        <f>IF($D$7="Dateneingabe fehlt","Dateneingabe fehlt",IF(F20="Dateneingabe fehlt","Dateneingabe fehlt",F18/D18*$D$7))</f>
        <v>Dateneingabe fehlt</v>
      </c>
      <c r="H21" s="159" t="str">
        <f>IF(OR(F20="Dateneingabe fehlt",F21="Dateneingabe fehlt"),"",IF(F21&gt;=0.2,"Mindestbetroffenheitsgrad erreicht","Betroffenheitsgrad zu niedrig"))</f>
        <v/>
      </c>
      <c r="J21" s="321"/>
      <c r="M21" s="6">
        <f>IF(F21&gt;=0.2,0,1)</f>
        <v>0</v>
      </c>
      <c r="N21" s="5">
        <f>IF(F21="Dateneingabe fehlt",1,0)</f>
        <v>1</v>
      </c>
    </row>
    <row r="22" spans="1:14" ht="30" customHeight="1" x14ac:dyDescent="0.25">
      <c r="A22" s="2" t="s">
        <v>2026</v>
      </c>
      <c r="B22" s="488" t="s">
        <v>23</v>
      </c>
      <c r="C22" s="488"/>
      <c r="D22" s="488"/>
      <c r="F22" s="334" t="str">
        <f>IFERROR(IF(AND(N22&gt;0,N22&lt;2500),N22,""),"")</f>
        <v/>
      </c>
      <c r="H22" s="159" t="str">
        <f>IFERROR(IF(OR(F20="Dateneingabe fehlt",N22=0),"",IF(N22&lt;2500,"Bagatellgrenze von 2.500 € nicht erreicht","")),"")</f>
        <v/>
      </c>
      <c r="J22" s="335">
        <f>IF(ISERROR(N22),0,IF(AND(SUM(N20:N21)=0,N22&gt;=2500),N22,0))</f>
        <v>0</v>
      </c>
      <c r="N22" s="5" t="e">
        <f>IF(L13=1,0,IF(SUM(M20:M21)=0,F18*F19/12,0))</f>
        <v>#VALUE!</v>
      </c>
    </row>
    <row r="23" spans="1:14" ht="6.95" customHeight="1" x14ac:dyDescent="0.25">
      <c r="H23" s="159"/>
      <c r="J23" s="321"/>
    </row>
    <row r="24" spans="1:14" ht="15.75" x14ac:dyDescent="0.25">
      <c r="A24" s="11" t="s">
        <v>1906</v>
      </c>
      <c r="H24" s="336"/>
      <c r="J24" s="321"/>
    </row>
    <row r="25" spans="1:14" ht="15.75" customHeight="1" x14ac:dyDescent="0.25">
      <c r="A25" s="2" t="s">
        <v>4</v>
      </c>
      <c r="C25" s="330"/>
      <c r="D25" s="76" t="str">
        <f>Kostenaufstellungen!F107</f>
        <v>Dateneingabe fehlt</v>
      </c>
      <c r="E25" s="18"/>
      <c r="F25" s="76" t="str">
        <f>Kostenaufstellungen!F140</f>
        <v>Dateneingabe fehlt</v>
      </c>
      <c r="H25" s="487" t="s">
        <v>2187</v>
      </c>
      <c r="I25" s="331"/>
      <c r="J25" s="332"/>
    </row>
    <row r="26" spans="1:14" ht="15.75" x14ac:dyDescent="0.25">
      <c r="A26" s="2" t="s">
        <v>1</v>
      </c>
      <c r="C26" s="333"/>
      <c r="D26" s="77" t="str">
        <f>Kostenaufstellungen!F96</f>
        <v>Dateneingabe fehlt</v>
      </c>
      <c r="E26" s="87"/>
      <c r="F26" s="77" t="str">
        <f>Kostenaufstellungen!F129</f>
        <v>Dateneingabe fehlt</v>
      </c>
      <c r="H26" s="487"/>
      <c r="J26" s="321"/>
    </row>
    <row r="27" spans="1:14" ht="15.75" x14ac:dyDescent="0.25">
      <c r="A27" s="2" t="s">
        <v>2024</v>
      </c>
      <c r="F27" s="88" t="str">
        <f>IF($F$7="Dateneingabe fehlt","Dateneingabe fehlt",IF(ISERROR(F25/D25),"Dateneingabe fehlt",F25/D25))</f>
        <v>Dateneingabe fehlt</v>
      </c>
      <c r="H27" s="159" t="str">
        <f>IF(F27="Dateneingabe fehlt","",IF(F27&gt;=3,"Mindestpreissteigerung erreicht","Preissteigerung zu niedrig"))</f>
        <v/>
      </c>
      <c r="J27" s="321"/>
      <c r="M27" s="6">
        <f>IF(F27&gt;=3,0,1)</f>
        <v>0</v>
      </c>
      <c r="N27" s="5">
        <f>IF(F27="Dateneingabe fehlt",1,0)</f>
        <v>1</v>
      </c>
    </row>
    <row r="28" spans="1:14" ht="15.75" x14ac:dyDescent="0.25">
      <c r="A28" s="2" t="s">
        <v>2025</v>
      </c>
      <c r="F28" s="88" t="str">
        <f>IF($D$7="Dateneingabe fehlt","Dateneingabe fehlt",IF(F27="Dateneingabe fehlt","Dateneingabe fehlt",F25/D25*$D$7))</f>
        <v>Dateneingabe fehlt</v>
      </c>
      <c r="H28" s="159" t="str">
        <f>IF(OR(F27="Dateneingabe fehlt",F28="Dateneingabe fehlt"),"",IF(F28&gt;=0.2,"Mindestbetroffenheitsgrad erreicht","Betroffenheitsgrad zu niedrig"))</f>
        <v/>
      </c>
      <c r="J28" s="321"/>
      <c r="M28" s="6">
        <f>IF(F28&gt;=0.2,0,1)</f>
        <v>0</v>
      </c>
      <c r="N28" s="5">
        <f>IF(F28="Dateneingabe fehlt",1,0)</f>
        <v>1</v>
      </c>
    </row>
    <row r="29" spans="1:14" ht="30" customHeight="1" x14ac:dyDescent="0.25">
      <c r="A29" s="2" t="s">
        <v>2026</v>
      </c>
      <c r="B29" s="488" t="s">
        <v>23</v>
      </c>
      <c r="C29" s="488"/>
      <c r="D29" s="488"/>
      <c r="F29" s="334" t="str">
        <f>IFERROR(IF(AND(N29&gt;0,N29&lt;2500),N29,""),"")</f>
        <v/>
      </c>
      <c r="H29" s="159" t="str">
        <f>IFERROR(IF(OR(F27="Dateneingabe fehlt",N29=0),"",IF(N29&lt;2500,"Bagatellgrenze von 2.500 € nicht erreicht","")),"")</f>
        <v/>
      </c>
      <c r="J29" s="335">
        <f>IF(ISERROR(N29),0,IF(AND(SUM(N27:N28)=0,N29&gt;=2500),N29,0))</f>
        <v>0</v>
      </c>
      <c r="N29" s="5" t="e">
        <f>IF(L13=1,0,IF(SUM(M27:M28)=0,F25*F26/12,0))</f>
        <v>#VALUE!</v>
      </c>
    </row>
    <row r="30" spans="1:14" ht="6.95" customHeight="1" x14ac:dyDescent="0.25">
      <c r="H30" s="159"/>
      <c r="J30" s="321"/>
    </row>
    <row r="31" spans="1:14" ht="15.75" x14ac:dyDescent="0.25">
      <c r="A31" s="11" t="s">
        <v>1907</v>
      </c>
      <c r="H31" s="336"/>
      <c r="J31" s="321"/>
    </row>
    <row r="32" spans="1:14" ht="15.75" customHeight="1" x14ac:dyDescent="0.25">
      <c r="A32" s="2" t="s">
        <v>4</v>
      </c>
      <c r="C32" s="330"/>
      <c r="D32" s="76" t="str">
        <f>Kostenaufstellungen!F175</f>
        <v>Dateneingabe fehlt</v>
      </c>
      <c r="E32" s="337"/>
      <c r="F32" s="76" t="str">
        <f>Kostenaufstellungen!F208</f>
        <v>Dateneingabe fehlt</v>
      </c>
      <c r="H32" s="487" t="s">
        <v>2187</v>
      </c>
      <c r="I32" s="331"/>
      <c r="J32" s="332"/>
    </row>
    <row r="33" spans="1:14" ht="15.75" x14ac:dyDescent="0.25">
      <c r="A33" s="2" t="s">
        <v>1</v>
      </c>
      <c r="C33" s="333"/>
      <c r="D33" s="77" t="str">
        <f>Kostenaufstellungen!F164</f>
        <v>Dateneingabe fehlt</v>
      </c>
      <c r="E33" s="338"/>
      <c r="F33" s="77" t="str">
        <f>Kostenaufstellungen!F197</f>
        <v>Dateneingabe fehlt</v>
      </c>
      <c r="H33" s="487"/>
      <c r="J33" s="321"/>
    </row>
    <row r="34" spans="1:14" ht="15.75" x14ac:dyDescent="0.25">
      <c r="A34" s="2" t="s">
        <v>2024</v>
      </c>
      <c r="F34" s="88" t="str">
        <f>IF($F$7="Dateneingabe fehlt","Dateneingabe fehlt",IF(ISERROR(F32/D32),"Dateneingabe fehlt",F32/D32))</f>
        <v>Dateneingabe fehlt</v>
      </c>
      <c r="H34" s="159" t="str">
        <f>IF(F34="Dateneingabe fehlt","",IF(F34&gt;=3,"Mindestpreissteigerung erreicht","Preissteigerung zu niedrig"))</f>
        <v/>
      </c>
      <c r="J34" s="321"/>
      <c r="L34" s="5">
        <v>6</v>
      </c>
      <c r="M34" s="6">
        <f>IF(F34&gt;=3,0,1)</f>
        <v>0</v>
      </c>
      <c r="N34" s="5">
        <f>IF(F34="Dateneingabe fehlt",1,0)</f>
        <v>1</v>
      </c>
    </row>
    <row r="35" spans="1:14" ht="15.75" x14ac:dyDescent="0.25">
      <c r="A35" s="2" t="s">
        <v>2025</v>
      </c>
      <c r="F35" s="88" t="str">
        <f>IF($D$7="Dateneingabe fehlt","Dateneingabe fehlt",IF(F34="Dateneingabe fehlt","Dateneingabe fehlt",F32/D32*$D$7))</f>
        <v>Dateneingabe fehlt</v>
      </c>
      <c r="H35" s="159" t="str">
        <f>IF(OR(F34="Dateneingabe fehlt",F35="Dateneingabe fehlt"),"",IF(F35&gt;=0.2,"Mindestbetroffenheitsgrad erreicht","Betroffenheitsgrad zu niedrig"))</f>
        <v/>
      </c>
      <c r="J35" s="321"/>
      <c r="M35" s="6">
        <f>IF(F35&gt;=0.2,0,1)</f>
        <v>0</v>
      </c>
      <c r="N35" s="5">
        <f>IF(F35="Dateneingabe fehlt",1,0)</f>
        <v>1</v>
      </c>
    </row>
    <row r="36" spans="1:14" ht="28.5" customHeight="1" x14ac:dyDescent="0.25">
      <c r="A36" s="2" t="s">
        <v>2026</v>
      </c>
      <c r="B36" s="488" t="s">
        <v>22</v>
      </c>
      <c r="C36" s="488"/>
      <c r="D36" s="488"/>
      <c r="F36" s="334" t="str">
        <f>IFERROR(IF(AND(N36&gt;0,N36&lt;2500),N36,""),"")</f>
        <v/>
      </c>
      <c r="H36" s="159" t="str">
        <f>IFERROR(IF(OR(F34="Dateneingabe fehlt",N36=0),"",IF(N36&lt;2500,"Bagatellgrenze von 2.500 € nicht erreicht","")),"")</f>
        <v/>
      </c>
      <c r="J36" s="335">
        <f>IF(ISERROR(N36),0,IF(AND(SUM(N34:N35)=0,N36&gt;=2500),N36,0))</f>
        <v>0</v>
      </c>
      <c r="N36" s="5" t="e">
        <f>IF(L13=1,0,IF(SUM(M34:M35)=0,F32*F33/6,0))</f>
        <v>#VALUE!</v>
      </c>
    </row>
    <row r="37" spans="1:14" ht="6.95" customHeight="1" thickBot="1" x14ac:dyDescent="0.3">
      <c r="A37" s="61"/>
      <c r="B37" s="61"/>
      <c r="C37" s="61"/>
      <c r="D37" s="61"/>
      <c r="E37" s="61"/>
      <c r="F37" s="61"/>
      <c r="G37" s="61"/>
      <c r="H37" s="339"/>
      <c r="J37" s="321"/>
    </row>
    <row r="38" spans="1:14" ht="6.95" customHeight="1" x14ac:dyDescent="0.25">
      <c r="H38" s="159"/>
      <c r="J38" s="321"/>
    </row>
    <row r="39" spans="1:14" ht="18.75" x14ac:dyDescent="0.25">
      <c r="A39" s="13" t="s">
        <v>1947</v>
      </c>
      <c r="H39" s="336"/>
      <c r="J39" s="321"/>
    </row>
    <row r="40" spans="1:14" ht="15.75" x14ac:dyDescent="0.25">
      <c r="H40" s="336"/>
      <c r="J40" s="321"/>
    </row>
    <row r="41" spans="1:14" ht="15.75" x14ac:dyDescent="0.25">
      <c r="A41" s="11" t="s">
        <v>1908</v>
      </c>
      <c r="B41" s="2" t="str">
        <f>IF(Kostenaufstellungen!E212="","",Kostenaufstellungen!E212)</f>
        <v/>
      </c>
      <c r="H41" s="336"/>
      <c r="J41" s="321"/>
    </row>
    <row r="42" spans="1:14" ht="15.75" x14ac:dyDescent="0.25">
      <c r="A42" s="11"/>
      <c r="H42" s="336"/>
      <c r="J42" s="321"/>
    </row>
    <row r="43" spans="1:14" ht="15.75" customHeight="1" x14ac:dyDescent="0.25">
      <c r="A43" s="2" t="s">
        <v>1919</v>
      </c>
      <c r="B43" s="2" t="str">
        <f>IF(Kostenaufstellungen!L214=0,"",Kostenaufstellungen!L214)</f>
        <v/>
      </c>
      <c r="H43" s="487" t="s">
        <v>2187</v>
      </c>
      <c r="J43" s="321"/>
    </row>
    <row r="44" spans="1:14" ht="15.75" x14ac:dyDescent="0.25">
      <c r="A44" s="2" t="str">
        <f>CONCATENATE("Durchschnittseinkaufspreis pro ",IF(Kostenaufstellungen!L214=0,"Handelseinheit",Kostenaufstellungen!L214))</f>
        <v>Durchschnittseinkaufspreis pro Handelseinheit</v>
      </c>
      <c r="B44" s="340"/>
      <c r="C44" s="340"/>
      <c r="D44" s="86" t="str">
        <f>Kostenaufstellungen!F251</f>
        <v>Dateneingabe fehlt</v>
      </c>
      <c r="E44" s="86"/>
      <c r="F44" s="76" t="str">
        <f>Kostenaufstellungen!F290</f>
        <v>Dateneingabe fehlt</v>
      </c>
      <c r="H44" s="487"/>
      <c r="J44" s="321"/>
    </row>
    <row r="45" spans="1:14" ht="15.75" x14ac:dyDescent="0.25">
      <c r="A45" s="2" t="str">
        <f>CONCATENATE("Jahresverbrauch in ",IF(Kostenaufstellungen!L214=0,"Handelseinheit",Kostenaufstellungen!L214))</f>
        <v>Jahresverbrauch in Handelseinheit</v>
      </c>
      <c r="B45" s="333"/>
      <c r="C45" s="333"/>
      <c r="D45" s="87" t="str">
        <f>IF(Kostenaufstellungen!F240=0,"Dateneingabe fehlt",Kostenaufstellungen!F240)</f>
        <v>Dateneingabe fehlt</v>
      </c>
      <c r="E45" s="87"/>
      <c r="F45" s="87" t="str">
        <f>IF(Kostenaufstellungen!F279=0,"Dateneingabe fehlt",Kostenaufstellungen!F279)</f>
        <v>Dateneingabe fehlt</v>
      </c>
      <c r="H45" s="336"/>
      <c r="J45" s="321"/>
    </row>
    <row r="46" spans="1:14" ht="15.75" x14ac:dyDescent="0.25">
      <c r="A46" s="2" t="s">
        <v>2024</v>
      </c>
      <c r="F46" s="88" t="str">
        <f>IF($F$7="Dateneingabe fehlt","Dateneingabe fehlt",IF(ISERROR(F44/D44),"Dateneingabe fehlt",F44/D44))</f>
        <v>Dateneingabe fehlt</v>
      </c>
      <c r="H46" s="159" t="str">
        <f>IF(F46="Dateneingabe fehlt","",IF(F46&gt;=3,"Mindestpreissteigerung erreicht","Preissteigerung zu niedrig"))</f>
        <v/>
      </c>
      <c r="J46" s="321"/>
      <c r="M46" s="6">
        <f>IF(F46&gt;=3,0,1)</f>
        <v>0</v>
      </c>
      <c r="N46" s="5">
        <f>IF(F46="Dateneingabe fehlt",1,0)</f>
        <v>1</v>
      </c>
    </row>
    <row r="47" spans="1:14" ht="15.75" x14ac:dyDescent="0.25">
      <c r="A47" s="2" t="s">
        <v>2025</v>
      </c>
      <c r="F47" s="88" t="str">
        <f>IF($D$7="Dateneingabe fehlt","Dateneingabe fehlt",IF(F46="Dateneingabe fehlt","Dateneingabe fehlt",F44/D44*$D$7))</f>
        <v>Dateneingabe fehlt</v>
      </c>
      <c r="H47" s="159" t="str">
        <f>IF(OR(F46="Dateneingabe fehlt",F47="Dateneingabe fehlt"),"",IF(F47&gt;=0.2,"Mindestbetroffenheitsgrad erreicht","Betroffenheitsgrad zu niedrig"))</f>
        <v/>
      </c>
      <c r="J47" s="321"/>
      <c r="M47" s="6">
        <f>IF(F47&gt;=0.2,0,1)</f>
        <v>0</v>
      </c>
      <c r="N47" s="5">
        <f>IF(F47="Dateneingabe fehlt",1,0)</f>
        <v>1</v>
      </c>
    </row>
    <row r="48" spans="1:14" ht="31.5" customHeight="1" x14ac:dyDescent="0.25">
      <c r="A48" s="2" t="s">
        <v>2026</v>
      </c>
      <c r="B48" s="488" t="s">
        <v>22</v>
      </c>
      <c r="C48" s="488"/>
      <c r="D48" s="488"/>
      <c r="F48" s="334" t="str">
        <f>IFERROR(IF(AND(N48&gt;0,N48&lt;2500),N48,""),"")</f>
        <v/>
      </c>
      <c r="H48" s="159" t="str">
        <f>IFERROR(IF(OR(F46="Dateneingabe fehlt",N48=0),"",IF(N48&lt;2500,"Bagatellgrenze von 2.500 € nicht erreicht","")),"")</f>
        <v/>
      </c>
      <c r="J48" s="335">
        <f>IF(ISERROR(N48),0,IF(AND(SUM(N46:N47)=0,N48&gt;=2500),N48,0))</f>
        <v>0</v>
      </c>
      <c r="N48" s="5" t="e">
        <f>IF(L13=1,0,IF(SUM(M46:M47)=0,F44*F45/6,0))</f>
        <v>#VALUE!</v>
      </c>
    </row>
    <row r="49" spans="1:14" ht="6.95" customHeight="1" x14ac:dyDescent="0.25">
      <c r="H49" s="336"/>
      <c r="J49" s="321"/>
    </row>
    <row r="50" spans="1:14" ht="15" customHeight="1" x14ac:dyDescent="0.25">
      <c r="A50" s="11" t="s">
        <v>1909</v>
      </c>
      <c r="B50" s="18" t="str">
        <f>IF(Kostenaufstellungen!E294="","",Kostenaufstellungen!E294)</f>
        <v/>
      </c>
      <c r="H50" s="336"/>
      <c r="J50" s="321"/>
    </row>
    <row r="51" spans="1:14" ht="15.75" customHeight="1" x14ac:dyDescent="0.25">
      <c r="A51" s="2" t="s">
        <v>2</v>
      </c>
      <c r="B51" s="18" t="str">
        <f>IF(Kostenaufstellungen!G294=0,"",Kostenaufstellungen!G294)</f>
        <v/>
      </c>
      <c r="H51" s="487" t="s">
        <v>2187</v>
      </c>
      <c r="J51" s="321"/>
    </row>
    <row r="52" spans="1:14" ht="15.75" x14ac:dyDescent="0.25">
      <c r="A52" s="2" t="str">
        <f>CONCATENATE("Durchschnittseinkaufspreis pro ",IF(Kostenaufstellungen!L296=0,"Handelseinheit",Kostenaufstellungen!L296))</f>
        <v>Durchschnittseinkaufspreis pro Handelseinheit</v>
      </c>
      <c r="C52" s="330"/>
      <c r="D52" s="76" t="str">
        <f>Kostenaufstellungen!F333</f>
        <v>Dateneingabe fehlt</v>
      </c>
      <c r="E52" s="330"/>
      <c r="F52" s="76" t="str">
        <f>Kostenaufstellungen!F372</f>
        <v>Dateneingabe fehlt</v>
      </c>
      <c r="H52" s="487"/>
      <c r="J52" s="321"/>
    </row>
    <row r="53" spans="1:14" ht="15.75" x14ac:dyDescent="0.25">
      <c r="A53" s="2" t="str">
        <f>CONCATENATE("Jahresverbrauch in ",IF(Kostenaufstellungen!L296=0,"Handelseinheit",Kostenaufstellungen!L296))</f>
        <v>Jahresverbrauch in Handelseinheit</v>
      </c>
      <c r="C53" s="333"/>
      <c r="D53" s="87" t="str">
        <f>IF(Kostenaufstellungen!F322=0,"Dateneingabe fehlt",Kostenaufstellungen!F322)</f>
        <v>Dateneingabe fehlt</v>
      </c>
      <c r="E53" s="333"/>
      <c r="F53" s="87" t="str">
        <f>IF(Kostenaufstellungen!F361=0,"Dateneingabe fehlt",Kostenaufstellungen!F361)</f>
        <v>Dateneingabe fehlt</v>
      </c>
      <c r="H53" s="336"/>
      <c r="J53" s="321"/>
    </row>
    <row r="54" spans="1:14" ht="15.75" x14ac:dyDescent="0.25">
      <c r="A54" s="2" t="s">
        <v>2024</v>
      </c>
      <c r="F54" s="88" t="str">
        <f>IF($F$7="Dateneingabe fehlt","Dateneingabe fehlt",IF(ISERROR(F52/D52),"Dateneingabe fehlt",F52/D52))</f>
        <v>Dateneingabe fehlt</v>
      </c>
      <c r="H54" s="336" t="str">
        <f>IF(F54="Dateneingabe fehlt","",IF(F54&gt;=3,"Mindestpreissteigerung erreicht","Preissteigerung zu niedrig"))</f>
        <v/>
      </c>
      <c r="J54" s="321"/>
      <c r="M54" s="6">
        <f>IF(F54&gt;=3,0,1)</f>
        <v>0</v>
      </c>
      <c r="N54" s="5">
        <f>IF(F54="Dateneingabe fehlt",1,0)</f>
        <v>1</v>
      </c>
    </row>
    <row r="55" spans="1:14" ht="15.75" x14ac:dyDescent="0.25">
      <c r="A55" s="2" t="s">
        <v>2025</v>
      </c>
      <c r="F55" s="88" t="str">
        <f>IF($D$7="Dateneingabe fehlt","Dateneingabe fehlt",IF(F54="Dateneingabe fehlt","Dateneingabe fehlt",F52/D52*$D$7))</f>
        <v>Dateneingabe fehlt</v>
      </c>
      <c r="H55" s="336" t="str">
        <f>IF(OR(F54="Dateneingabe fehlt",F55="Dateneingabe fehlt"),"",IF(F55&gt;=0.2,"Mindestbetroffenheitsgrad erreicht","Betroffenheitsgrad zu niedrig"))</f>
        <v/>
      </c>
      <c r="J55" s="321"/>
      <c r="M55" s="6">
        <f>IF(F55&gt;=0.2,0,1)</f>
        <v>0</v>
      </c>
      <c r="N55" s="5">
        <f>IF(F55="Dateneingabe fehlt",1,0)</f>
        <v>1</v>
      </c>
    </row>
    <row r="56" spans="1:14" ht="33" customHeight="1" x14ac:dyDescent="0.25">
      <c r="A56" s="2" t="s">
        <v>2026</v>
      </c>
      <c r="B56" s="488" t="s">
        <v>22</v>
      </c>
      <c r="C56" s="488"/>
      <c r="D56" s="488"/>
      <c r="F56" s="334" t="str">
        <f>IFERROR(IF(AND(N56&gt;0,N56&lt;2500),N56,""),"")</f>
        <v/>
      </c>
      <c r="H56" s="336" t="str">
        <f>IFERROR(IF(OR(F54="Dateneingabe fehlt",N56=0),"",IF(N56&lt;2500,"Bagatellgrenze von 2.500 € nicht erreicht","")),"")</f>
        <v/>
      </c>
      <c r="J56" s="335">
        <f>IF(ISERROR(N56),0,IF(AND(SUM(N54:N55)=0,N56&gt;=2500),N56,0))</f>
        <v>0</v>
      </c>
      <c r="N56" s="5" t="e">
        <f>IF(L13=1,0,IF(SUM(M54:M55)=0,F52*F53/6,0))</f>
        <v>#VALUE!</v>
      </c>
    </row>
    <row r="57" spans="1:14" ht="6.95" customHeight="1" x14ac:dyDescent="0.25">
      <c r="H57" s="336"/>
      <c r="J57" s="321"/>
    </row>
    <row r="58" spans="1:14" ht="15.75" x14ac:dyDescent="0.25">
      <c r="A58" s="11" t="s">
        <v>1910</v>
      </c>
      <c r="B58" s="2" t="str">
        <f>IF(Kostenaufstellungen!E376="","",Kostenaufstellungen!E376)</f>
        <v/>
      </c>
      <c r="H58" s="336"/>
      <c r="J58" s="321"/>
    </row>
    <row r="59" spans="1:14" ht="15.75" customHeight="1" x14ac:dyDescent="0.25">
      <c r="A59" s="2" t="s">
        <v>2</v>
      </c>
      <c r="B59" s="2" t="str">
        <f>IF(Kostenaufstellungen!L378=0,"",Kostenaufstellungen!L378)</f>
        <v/>
      </c>
      <c r="H59" s="487" t="s">
        <v>2187</v>
      </c>
      <c r="J59" s="321"/>
    </row>
    <row r="60" spans="1:14" ht="15.75" x14ac:dyDescent="0.25">
      <c r="A60" s="2" t="str">
        <f>CONCATENATE("Durchschnittseinkaufspreis pro ",IF(Kostenaufstellungen!L378=0,"Handelseinheit",Kostenaufstellungen!L378))</f>
        <v>Durchschnittseinkaufspreis pro Handelseinheit</v>
      </c>
      <c r="C60" s="330"/>
      <c r="D60" s="76" t="str">
        <f>Kostenaufstellungen!F415</f>
        <v>Dateneingabe fehlt</v>
      </c>
      <c r="E60" s="330"/>
      <c r="F60" s="76" t="str">
        <f>Kostenaufstellungen!F454</f>
        <v>Dateneingabe fehlt</v>
      </c>
      <c r="H60" s="487"/>
      <c r="J60" s="321"/>
    </row>
    <row r="61" spans="1:14" ht="15.75" x14ac:dyDescent="0.25">
      <c r="A61" s="2" t="str">
        <f>CONCATENATE("Jahresverbrauch in ",IF(Kostenaufstellungen!L378=0,"Handelseinheit",Kostenaufstellungen!L378))</f>
        <v>Jahresverbrauch in Handelseinheit</v>
      </c>
      <c r="C61" s="333"/>
      <c r="D61" s="87" t="str">
        <f>IF(Kostenaufstellungen!F404=0,"Dateneingabe fehlt",Kostenaufstellungen!F404)</f>
        <v>Dateneingabe fehlt</v>
      </c>
      <c r="E61" s="333"/>
      <c r="F61" s="87" t="str">
        <f>IF(Kostenaufstellungen!F443=0,"Dateneingabe fehlt",Kostenaufstellungen!F443)</f>
        <v>Dateneingabe fehlt</v>
      </c>
      <c r="H61" s="336"/>
      <c r="J61" s="321"/>
    </row>
    <row r="62" spans="1:14" ht="15.75" x14ac:dyDescent="0.25">
      <c r="A62" s="2" t="s">
        <v>2024</v>
      </c>
      <c r="F62" s="88" t="str">
        <f>IF($F$7="Dateneingabe fehlt","Dateneingabe fehlt",IF(ISERROR(F60/D60),"Dateneingabe fehlt",F60/D60))</f>
        <v>Dateneingabe fehlt</v>
      </c>
      <c r="H62" s="159" t="str">
        <f>IF(F62="Dateneingabe fehlt","",IF(F62&gt;=3,"Mindestpreissteigerung erreicht","Preissteigerung zu niedrig"))</f>
        <v/>
      </c>
      <c r="J62" s="321"/>
      <c r="M62" s="6">
        <f>IF(F62&gt;=3,0,1)</f>
        <v>0</v>
      </c>
      <c r="N62" s="5">
        <f>IF(F62="Dateneingabe fehlt",1,0)</f>
        <v>1</v>
      </c>
    </row>
    <row r="63" spans="1:14" ht="15.75" x14ac:dyDescent="0.25">
      <c r="A63" s="2" t="s">
        <v>2025</v>
      </c>
      <c r="F63" s="88" t="str">
        <f>IF($D$7="Dateneingabe fehlt","Dateneingabe fehlt",IF(F62="Dateneingabe fehlt","Dateneingabe fehlt",F60/D60*$D$7))</f>
        <v>Dateneingabe fehlt</v>
      </c>
      <c r="H63" s="159" t="str">
        <f>IF(OR(F62="Dateneingabe fehlt",F63="Dateneingabe fehlt"),"",IF(F63&gt;=0.2,"Mindestbetroffenheitsgrad erreicht","Betroffenheitsgrad zu niedrig"))</f>
        <v/>
      </c>
      <c r="J63" s="321"/>
      <c r="M63" s="6">
        <f>IF(F63&gt;=0.2,0,1)</f>
        <v>0</v>
      </c>
      <c r="N63" s="5">
        <f>IF(F63="Dateneingabe fehlt",1,0)</f>
        <v>1</v>
      </c>
    </row>
    <row r="64" spans="1:14" ht="27" customHeight="1" x14ac:dyDescent="0.2">
      <c r="A64" s="2" t="s">
        <v>2026</v>
      </c>
      <c r="B64" s="489" t="s">
        <v>22</v>
      </c>
      <c r="C64" s="489"/>
      <c r="D64" s="489"/>
      <c r="F64" s="334" t="str">
        <f>IFERROR(IF(AND(N64&gt;0,N64&lt;2500),N64,""),"")</f>
        <v/>
      </c>
      <c r="H64" s="159" t="str">
        <f>IFERROR(IF(OR(F62="Dateneingabe fehlt",N64=0),"",IF(N64&lt;2500,"Bagatellgrenze von 2.500 € nicht erreicht","")),"")</f>
        <v/>
      </c>
      <c r="J64" s="335">
        <f>IF(ISERROR(N64),0,IF(AND(SUM(N62:N63)=0,N64&gt;=2500),N64,0))</f>
        <v>0</v>
      </c>
      <c r="N64" s="5" t="e">
        <f>IF(L13=1,0,IF(SUM(M62:M63)=0,F60*F61/6,0))</f>
        <v>#VALUE!</v>
      </c>
    </row>
    <row r="65" spans="1:13" ht="6.95" customHeight="1" x14ac:dyDescent="0.25">
      <c r="H65" s="18"/>
      <c r="J65" s="321"/>
    </row>
    <row r="66" spans="1:13" ht="16.5" thickBot="1" x14ac:dyDescent="0.3">
      <c r="A66" s="341" t="s">
        <v>2188</v>
      </c>
      <c r="B66" s="341"/>
      <c r="C66" s="341"/>
      <c r="D66" s="341"/>
      <c r="E66" s="341"/>
      <c r="F66" s="341"/>
      <c r="G66" s="341"/>
      <c r="H66" s="341"/>
      <c r="I66" s="341"/>
      <c r="J66" s="342">
        <f>ROUND(SUM(J4:J65),2)</f>
        <v>0</v>
      </c>
    </row>
    <row r="67" spans="1:13" ht="15.75" x14ac:dyDescent="0.25">
      <c r="A67" s="12"/>
      <c r="B67" s="12"/>
      <c r="C67" s="12"/>
      <c r="D67" s="12"/>
      <c r="E67" s="12"/>
      <c r="F67" s="12"/>
      <c r="G67" s="12"/>
      <c r="H67" s="12"/>
      <c r="I67" s="12"/>
      <c r="J67" s="343"/>
    </row>
    <row r="70" spans="1:13" x14ac:dyDescent="0.25">
      <c r="J70" s="2"/>
      <c r="K70" s="2"/>
      <c r="M70" s="5"/>
    </row>
    <row r="71" spans="1:13" x14ac:dyDescent="0.25">
      <c r="J71" s="2"/>
      <c r="K71" s="2"/>
      <c r="M71" s="5"/>
    </row>
    <row r="72" spans="1:13" x14ac:dyDescent="0.25">
      <c r="J72" s="2"/>
      <c r="K72" s="2"/>
      <c r="M72" s="5"/>
    </row>
    <row r="73" spans="1:13" x14ac:dyDescent="0.25">
      <c r="J73" s="2"/>
      <c r="K73" s="2"/>
      <c r="M73" s="5"/>
    </row>
    <row r="74" spans="1:13" x14ac:dyDescent="0.25">
      <c r="J74" s="2"/>
      <c r="K74" s="2"/>
      <c r="M74" s="5"/>
    </row>
    <row r="75" spans="1:13" x14ac:dyDescent="0.25">
      <c r="J75" s="2"/>
      <c r="K75" s="2"/>
      <c r="M75" s="5"/>
    </row>
    <row r="76" spans="1:13" ht="50.25" customHeight="1" x14ac:dyDescent="0.25">
      <c r="J76" s="2"/>
      <c r="K76" s="2"/>
      <c r="M76" s="5"/>
    </row>
    <row r="77" spans="1:13" x14ac:dyDescent="0.25">
      <c r="J77" s="2"/>
      <c r="K77" s="2"/>
      <c r="M77" s="5"/>
    </row>
    <row r="78" spans="1:13" x14ac:dyDescent="0.25">
      <c r="J78" s="2"/>
      <c r="K78" s="2"/>
      <c r="M78" s="5"/>
    </row>
    <row r="80" spans="1:13" x14ac:dyDescent="0.25">
      <c r="J80" s="2"/>
      <c r="K80" s="2"/>
      <c r="M80" s="5"/>
    </row>
    <row r="81" spans="10:13" x14ac:dyDescent="0.25">
      <c r="J81" s="2"/>
      <c r="K81" s="2"/>
      <c r="M81" s="5"/>
    </row>
    <row r="82" spans="10:13" x14ac:dyDescent="0.25">
      <c r="J82" s="2"/>
      <c r="K82" s="2"/>
      <c r="M82" s="5"/>
    </row>
    <row r="83" spans="10:13" x14ac:dyDescent="0.25">
      <c r="J83" s="2"/>
      <c r="K83" s="2"/>
      <c r="M83" s="5"/>
    </row>
    <row r="84" spans="10:13" x14ac:dyDescent="0.25">
      <c r="J84" s="2"/>
      <c r="K84" s="2"/>
      <c r="M84" s="5"/>
    </row>
    <row r="85" spans="10:13" x14ac:dyDescent="0.25">
      <c r="J85" s="2"/>
      <c r="K85" s="2"/>
      <c r="M85" s="5"/>
    </row>
    <row r="86" spans="10:13" x14ac:dyDescent="0.25">
      <c r="J86" s="2"/>
      <c r="K86" s="2"/>
      <c r="M86" s="5"/>
    </row>
  </sheetData>
  <sheetProtection algorithmName="SHA-512" hashValue="aqN9jrJjTzpbbZhAyyEd2Qa+kNgma/osn1vwEpj6yn908CoDCcMm49FLxOudt8Z5GOEgzdYlyQMlWXpdhk3Yeg==" saltValue="gVije4Z5pVXUPkNGpG2diQ==" spinCount="100000" sheet="1" selectLockedCells="1"/>
  <mergeCells count="17">
    <mergeCell ref="H5:H6"/>
    <mergeCell ref="B10:H10"/>
    <mergeCell ref="B11:H11"/>
    <mergeCell ref="B12:H12"/>
    <mergeCell ref="B8:F8"/>
    <mergeCell ref="B22:D22"/>
    <mergeCell ref="B64:D64"/>
    <mergeCell ref="B56:D56"/>
    <mergeCell ref="B48:D48"/>
    <mergeCell ref="B36:D36"/>
    <mergeCell ref="B29:D29"/>
    <mergeCell ref="H59:H60"/>
    <mergeCell ref="H18:H19"/>
    <mergeCell ref="H25:H26"/>
    <mergeCell ref="H32:H33"/>
    <mergeCell ref="H43:H44"/>
    <mergeCell ref="H51:H52"/>
  </mergeCells>
  <conditionalFormatting sqref="I23:J23 H22:I22 I49:J49 I57:J57 I65:J65 H36:I36 H48:I48 H56:I56 H64:I64 H87:J1048576 H66:J68 H13:J18 I8:J12 H39:J42 H58:J58 H31:J31 H50:J50 I30:J30 H2:J4 H1:I1 I5:J6 H7:J7 H20:J21 I19:J19 H27:J28 I25:J26 H34:J35 I32:J33 I37:J38 H45:J47 I43:J44 H53:J55 I51:J52 I62:J63 H61:J61 I59:J60">
    <cfRule type="containsText" dxfId="436" priority="514" operator="containsText" text="Betroffenheitsgrad zu niedrig">
      <formula>NOT(ISERROR(SEARCH("Betroffenheitsgrad zu niedrig",H1)))</formula>
    </cfRule>
    <cfRule type="containsText" dxfId="435" priority="515" operator="containsText" text="Mindestgrad erreicht">
      <formula>NOT(ISERROR(SEARCH("Mindestgrad erreicht",H1)))</formula>
    </cfRule>
    <cfRule type="containsText" dxfId="434" priority="516" operator="containsText" text="Preissteigerung zu niedrig">
      <formula>NOT(ISERROR(SEARCH("Preissteigerung zu niedrig",H1)))</formula>
    </cfRule>
    <cfRule type="containsText" dxfId="433" priority="517" operator="containsText" text="Mindestpreissteigerung erreicht">
      <formula>NOT(ISERROR(SEARCH("Mindestpreissteigerung erreicht",H1)))</formula>
    </cfRule>
  </conditionalFormatting>
  <conditionalFormatting sqref="H9 B8">
    <cfRule type="containsText" dxfId="432" priority="512" operator="containsText" text="Keine leistungsschädliche Preisweitergabe in 2022">
      <formula>NOT(ISERROR(SEARCH("Keine leistungsschädliche Preisweitergabe in 2022",B8)))</formula>
    </cfRule>
    <cfRule type="containsText" dxfId="431" priority="513" operator="containsText" text="Leistungsschädliche Preisweitergabe in 2022 liegt vor">
      <formula>NOT(ISERROR(SEARCH("Leistungsschädliche Preisweitergabe in 2022 liegt vor",B8)))</formula>
    </cfRule>
  </conditionalFormatting>
  <conditionalFormatting sqref="H87:H1048576 H66:H68 H13:H18 H39:H42 H58 H31 H50 H1:H4 H7 H20:H22 H27:H28 H36 H48 H45 H56 H53 H64 H61">
    <cfRule type="containsText" dxfId="430" priority="438" operator="containsText" text="Bagatellgrenze von 2.500 € nicht erreicht">
      <formula>NOT(ISERROR(SEARCH("Bagatellgrenze von 2.500 € nicht erreicht",H1)))</formula>
    </cfRule>
    <cfRule type="containsText" dxfId="429" priority="463" operator="containsText" text="Preisweitergabe, Ausschluss">
      <formula>NOT(ISERROR(SEARCH("Preisweitergabe, Ausschluss",H1)))</formula>
    </cfRule>
  </conditionalFormatting>
  <conditionalFormatting sqref="H31">
    <cfRule type="containsText" dxfId="428" priority="459" operator="containsText" text="Betroffenheitsgrad zu niedrig">
      <formula>NOT(ISERROR(SEARCH("Betroffenheitsgrad zu niedrig",H31)))</formula>
    </cfRule>
    <cfRule type="containsText" dxfId="427" priority="460" operator="containsText" text="Mindestgrad erreicht">
      <formula>NOT(ISERROR(SEARCH("Mindestgrad erreicht",H31)))</formula>
    </cfRule>
    <cfRule type="containsText" dxfId="426" priority="461" operator="containsText" text="Preissteigerung zu niedrig">
      <formula>NOT(ISERROR(SEARCH("Preissteigerung zu niedrig",H31)))</formula>
    </cfRule>
    <cfRule type="containsText" dxfId="425" priority="462" operator="containsText" text="Mindestpreissteigerung erreicht">
      <formula>NOT(ISERROR(SEARCH("Mindestpreissteigerung erreicht",H31)))</formula>
    </cfRule>
  </conditionalFormatting>
  <conditionalFormatting sqref="H41">
    <cfRule type="containsText" dxfId="424" priority="455" operator="containsText" text="Betroffenheitsgrad zu niedrig">
      <formula>NOT(ISERROR(SEARCH("Betroffenheitsgrad zu niedrig",H41)))</formula>
    </cfRule>
    <cfRule type="containsText" dxfId="423" priority="456" operator="containsText" text="Mindestgrad erreicht">
      <formula>NOT(ISERROR(SEARCH("Mindestgrad erreicht",H41)))</formula>
    </cfRule>
    <cfRule type="containsText" dxfId="422" priority="457" operator="containsText" text="Preissteigerung zu niedrig">
      <formula>NOT(ISERROR(SEARCH("Preissteigerung zu niedrig",H41)))</formula>
    </cfRule>
    <cfRule type="containsText" dxfId="421" priority="458" operator="containsText" text="Mindestpreissteigerung erreicht">
      <formula>NOT(ISERROR(SEARCH("Mindestpreissteigerung erreicht",H41)))</formula>
    </cfRule>
  </conditionalFormatting>
  <conditionalFormatting sqref="H50">
    <cfRule type="containsText" dxfId="420" priority="451" operator="containsText" text="Betroffenheitsgrad zu niedrig">
      <formula>NOT(ISERROR(SEARCH("Betroffenheitsgrad zu niedrig",H50)))</formula>
    </cfRule>
    <cfRule type="containsText" dxfId="419" priority="452" operator="containsText" text="Mindestgrad erreicht">
      <formula>NOT(ISERROR(SEARCH("Mindestgrad erreicht",H50)))</formula>
    </cfRule>
    <cfRule type="containsText" dxfId="418" priority="453" operator="containsText" text="Preissteigerung zu niedrig">
      <formula>NOT(ISERROR(SEARCH("Preissteigerung zu niedrig",H50)))</formula>
    </cfRule>
    <cfRule type="containsText" dxfId="417" priority="454" operator="containsText" text="Mindestpreissteigerung erreicht">
      <formula>NOT(ISERROR(SEARCH("Mindestpreissteigerung erreicht",H50)))</formula>
    </cfRule>
  </conditionalFormatting>
  <conditionalFormatting sqref="H58">
    <cfRule type="containsText" dxfId="416" priority="447" operator="containsText" text="Betroffenheitsgrad zu niedrig">
      <formula>NOT(ISERROR(SEARCH("Betroffenheitsgrad zu niedrig",H58)))</formula>
    </cfRule>
    <cfRule type="containsText" dxfId="415" priority="448" operator="containsText" text="Mindestgrad erreicht">
      <formula>NOT(ISERROR(SEARCH("Mindestgrad erreicht",H58)))</formula>
    </cfRule>
    <cfRule type="containsText" dxfId="414" priority="449" operator="containsText" text="Preissteigerung zu niedrig">
      <formula>NOT(ISERROR(SEARCH("Preissteigerung zu niedrig",H58)))</formula>
    </cfRule>
    <cfRule type="containsText" dxfId="413" priority="450" operator="containsText" text="Mindestpreissteigerung erreicht">
      <formula>NOT(ISERROR(SEARCH("Mindestpreissteigerung erreicht",H58)))</formula>
    </cfRule>
  </conditionalFormatting>
  <conditionalFormatting sqref="H64">
    <cfRule type="containsText" dxfId="412" priority="439" operator="containsText" text="Betroffenheitsgrad zu niedrig">
      <formula>NOT(ISERROR(SEARCH("Betroffenheitsgrad zu niedrig",H64)))</formula>
    </cfRule>
    <cfRule type="containsText" dxfId="411" priority="440" operator="containsText" text="Mindestgrad erreicht">
      <formula>NOT(ISERROR(SEARCH("Mindestgrad erreicht",H64)))</formula>
    </cfRule>
    <cfRule type="containsText" dxfId="410" priority="441" operator="containsText" text="Preissteigerung zu niedrig">
      <formula>NOT(ISERROR(SEARCH("Preissteigerung zu niedrig",H64)))</formula>
    </cfRule>
    <cfRule type="containsText" dxfId="409" priority="442" operator="containsText" text="Mindestpreissteigerung erreicht">
      <formula>NOT(ISERROR(SEARCH("Mindestpreissteigerung erreicht",H64)))</formula>
    </cfRule>
  </conditionalFormatting>
  <conditionalFormatting sqref="H46">
    <cfRule type="containsText" dxfId="408" priority="328" operator="containsText" text="Betroffenheitsgrad zu niedrig">
      <formula>NOT(ISERROR(SEARCH("Betroffenheitsgrad zu niedrig",H46)))</formula>
    </cfRule>
    <cfRule type="containsText" dxfId="407" priority="329" operator="containsText" text="Mindestgrad erreicht">
      <formula>NOT(ISERROR(SEARCH("Mindestgrad erreicht",H46)))</formula>
    </cfRule>
    <cfRule type="containsText" dxfId="406" priority="330" operator="containsText" text="Preissteigerung zu niedrig">
      <formula>NOT(ISERROR(SEARCH("Preissteigerung zu niedrig",H46)))</formula>
    </cfRule>
    <cfRule type="containsText" dxfId="405" priority="331" operator="containsText" text="Mindestpreissteigerung erreicht">
      <formula>NOT(ISERROR(SEARCH("Mindestpreissteigerung erreicht",H46)))</formula>
    </cfRule>
  </conditionalFormatting>
  <conditionalFormatting sqref="H46">
    <cfRule type="containsText" dxfId="404" priority="324" operator="containsText" text="Betroffenheitsgrad zu niedrig">
      <formula>NOT(ISERROR(SEARCH("Betroffenheitsgrad zu niedrig",H46)))</formula>
    </cfRule>
    <cfRule type="containsText" dxfId="403" priority="325" operator="containsText" text="Mindestgrad erreicht">
      <formula>NOT(ISERROR(SEARCH("Mindestgrad erreicht",H46)))</formula>
    </cfRule>
    <cfRule type="containsText" dxfId="402" priority="326" operator="containsText" text="Preissteigerung zu niedrig">
      <formula>NOT(ISERROR(SEARCH("Preissteigerung zu niedrig",H46)))</formula>
    </cfRule>
    <cfRule type="containsText" dxfId="401" priority="327" operator="containsText" text="Mindestpreissteigerung erreicht">
      <formula>NOT(ISERROR(SEARCH("Mindestpreissteigerung erreicht",H46)))</formula>
    </cfRule>
  </conditionalFormatting>
  <conditionalFormatting sqref="H55">
    <cfRule type="containsText" dxfId="400" priority="302" operator="containsText" text="Betroffenheitsgrad zu niedrig">
      <formula>NOT(ISERROR(SEARCH("Betroffenheitsgrad zu niedrig",H55)))</formula>
    </cfRule>
    <cfRule type="containsText" dxfId="399" priority="303" operator="containsText" text="Mindestgrad erreicht">
      <formula>NOT(ISERROR(SEARCH("Mindestgrad erreicht",H55)))</formula>
    </cfRule>
    <cfRule type="containsText" dxfId="398" priority="304" operator="containsText" text="Preissteigerung zu niedrig">
      <formula>NOT(ISERROR(SEARCH("Preissteigerung zu niedrig",H55)))</formula>
    </cfRule>
    <cfRule type="containsText" dxfId="397" priority="305" operator="containsText" text="Mindestpreissteigerung erreicht">
      <formula>NOT(ISERROR(SEARCH("Mindestpreissteigerung erreicht",H55)))</formula>
    </cfRule>
  </conditionalFormatting>
  <conditionalFormatting sqref="H20">
    <cfRule type="containsText" dxfId="396" priority="402" operator="containsText" text="Betroffenheitsgrad zu niedrig">
      <formula>NOT(ISERROR(SEARCH("Betroffenheitsgrad zu niedrig",H20)))</formula>
    </cfRule>
    <cfRule type="containsText" dxfId="395" priority="403" operator="containsText" text="Mindestgrad erreicht">
      <formula>NOT(ISERROR(SEARCH("Mindestgrad erreicht",H20)))</formula>
    </cfRule>
    <cfRule type="containsText" dxfId="394" priority="404" operator="containsText" text="Preissteigerung zu niedrig">
      <formula>NOT(ISERROR(SEARCH("Preissteigerung zu niedrig",H20)))</formula>
    </cfRule>
    <cfRule type="containsText" dxfId="393" priority="405" operator="containsText" text="Mindestpreissteigerung erreicht">
      <formula>NOT(ISERROR(SEARCH("Mindestpreissteigerung erreicht",H20)))</formula>
    </cfRule>
  </conditionalFormatting>
  <conditionalFormatting sqref="H20">
    <cfRule type="containsText" dxfId="392" priority="398" operator="containsText" text="Betroffenheitsgrad zu niedrig">
      <formula>NOT(ISERROR(SEARCH("Betroffenheitsgrad zu niedrig",H20)))</formula>
    </cfRule>
    <cfRule type="containsText" dxfId="391" priority="399" operator="containsText" text="Mindestgrad erreicht">
      <formula>NOT(ISERROR(SEARCH("Mindestgrad erreicht",H20)))</formula>
    </cfRule>
    <cfRule type="containsText" dxfId="390" priority="400" operator="containsText" text="Preissteigerung zu niedrig">
      <formula>NOT(ISERROR(SEARCH("Preissteigerung zu niedrig",H20)))</formula>
    </cfRule>
    <cfRule type="containsText" dxfId="389" priority="401" operator="containsText" text="Mindestpreissteigerung erreicht">
      <formula>NOT(ISERROR(SEARCH("Mindestpreissteigerung erreicht",H20)))</formula>
    </cfRule>
  </conditionalFormatting>
  <conditionalFormatting sqref="H21">
    <cfRule type="containsText" dxfId="388" priority="378" operator="containsText" text="Betroffenheitsgrad zu niedrig">
      <formula>NOT(ISERROR(SEARCH("Betroffenheitsgrad zu niedrig",H21)))</formula>
    </cfRule>
    <cfRule type="containsText" dxfId="387" priority="379" operator="containsText" text="Mindestgrad erreicht">
      <formula>NOT(ISERROR(SEARCH("Mindestgrad erreicht",H21)))</formula>
    </cfRule>
    <cfRule type="containsText" dxfId="386" priority="380" operator="containsText" text="Preissteigerung zu niedrig">
      <formula>NOT(ISERROR(SEARCH("Preissteigerung zu niedrig",H21)))</formula>
    </cfRule>
    <cfRule type="containsText" dxfId="385" priority="381" operator="containsText" text="Mindestpreissteigerung erreicht">
      <formula>NOT(ISERROR(SEARCH("Mindestpreissteigerung erreicht",H21)))</formula>
    </cfRule>
  </conditionalFormatting>
  <conditionalFormatting sqref="H64">
    <cfRule type="containsText" dxfId="384" priority="374" operator="containsText" text="Betroffenheitsgrad zu niedrig">
      <formula>NOT(ISERROR(SEARCH("Betroffenheitsgrad zu niedrig",H64)))</formula>
    </cfRule>
    <cfRule type="containsText" dxfId="383" priority="375" operator="containsText" text="Mindestgrad erreicht">
      <formula>NOT(ISERROR(SEARCH("Mindestgrad erreicht",H64)))</formula>
    </cfRule>
    <cfRule type="containsText" dxfId="382" priority="376" operator="containsText" text="Preissteigerung zu niedrig">
      <formula>NOT(ISERROR(SEARCH("Preissteigerung zu niedrig",H64)))</formula>
    </cfRule>
    <cfRule type="containsText" dxfId="381" priority="377" operator="containsText" text="Mindestpreissteigerung erreicht">
      <formula>NOT(ISERROR(SEARCH("Mindestpreissteigerung erreicht",H64)))</formula>
    </cfRule>
  </conditionalFormatting>
  <conditionalFormatting sqref="H34:H35 H46:H47 H54:H55">
    <cfRule type="containsText" dxfId="380" priority="368" operator="containsText" text="Bagatellgrenze nicht erreicht">
      <formula>NOT(ISERROR(SEARCH("Bagatellgrenze nicht erreicht",H34)))</formula>
    </cfRule>
    <cfRule type="containsText" dxfId="379" priority="369" operator="containsText" text="Preisweitergabe, Ausschluss">
      <formula>NOT(ISERROR(SEARCH("Preisweitergabe, Ausschluss",H34)))</formula>
    </cfRule>
  </conditionalFormatting>
  <conditionalFormatting sqref="H34">
    <cfRule type="containsText" dxfId="378" priority="364" operator="containsText" text="Betroffenheitsgrad zu niedrig">
      <formula>NOT(ISERROR(SEARCH("Betroffenheitsgrad zu niedrig",H34)))</formula>
    </cfRule>
    <cfRule type="containsText" dxfId="377" priority="365" operator="containsText" text="Mindestgrad erreicht">
      <formula>NOT(ISERROR(SEARCH("Mindestgrad erreicht",H34)))</formula>
    </cfRule>
    <cfRule type="containsText" dxfId="376" priority="366" operator="containsText" text="Preissteigerung zu niedrig">
      <formula>NOT(ISERROR(SEARCH("Preissteigerung zu niedrig",H34)))</formula>
    </cfRule>
    <cfRule type="containsText" dxfId="375" priority="367" operator="containsText" text="Mindestpreissteigerung erreicht">
      <formula>NOT(ISERROR(SEARCH("Mindestpreissteigerung erreicht",H34)))</formula>
    </cfRule>
  </conditionalFormatting>
  <conditionalFormatting sqref="H34">
    <cfRule type="containsText" dxfId="374" priority="360" operator="containsText" text="Betroffenheitsgrad zu niedrig">
      <formula>NOT(ISERROR(SEARCH("Betroffenheitsgrad zu niedrig",H34)))</formula>
    </cfRule>
    <cfRule type="containsText" dxfId="373" priority="361" operator="containsText" text="Mindestgrad erreicht">
      <formula>NOT(ISERROR(SEARCH("Mindestgrad erreicht",H34)))</formula>
    </cfRule>
    <cfRule type="containsText" dxfId="372" priority="362" operator="containsText" text="Preissteigerung zu niedrig">
      <formula>NOT(ISERROR(SEARCH("Preissteigerung zu niedrig",H34)))</formula>
    </cfRule>
    <cfRule type="containsText" dxfId="371" priority="363" operator="containsText" text="Mindestpreissteigerung erreicht">
      <formula>NOT(ISERROR(SEARCH("Mindestpreissteigerung erreicht",H34)))</formula>
    </cfRule>
  </conditionalFormatting>
  <conditionalFormatting sqref="H35">
    <cfRule type="containsText" dxfId="370" priority="356" operator="containsText" text="Betroffenheitsgrad zu niedrig">
      <formula>NOT(ISERROR(SEARCH("Betroffenheitsgrad zu niedrig",H35)))</formula>
    </cfRule>
    <cfRule type="containsText" dxfId="369" priority="357" operator="containsText" text="Mindestgrad erreicht">
      <formula>NOT(ISERROR(SEARCH("Mindestgrad erreicht",H35)))</formula>
    </cfRule>
    <cfRule type="containsText" dxfId="368" priority="358" operator="containsText" text="Preissteigerung zu niedrig">
      <formula>NOT(ISERROR(SEARCH("Preissteigerung zu niedrig",H35)))</formula>
    </cfRule>
    <cfRule type="containsText" dxfId="367" priority="359" operator="containsText" text="Mindestpreissteigerung erreicht">
      <formula>NOT(ISERROR(SEARCH("Mindestpreissteigerung erreicht",H35)))</formula>
    </cfRule>
  </conditionalFormatting>
  <conditionalFormatting sqref="H47">
    <cfRule type="containsText" dxfId="366" priority="320" operator="containsText" text="Betroffenheitsgrad zu niedrig">
      <formula>NOT(ISERROR(SEARCH("Betroffenheitsgrad zu niedrig",H47)))</formula>
    </cfRule>
    <cfRule type="containsText" dxfId="365" priority="321" operator="containsText" text="Mindestgrad erreicht">
      <formula>NOT(ISERROR(SEARCH("Mindestgrad erreicht",H47)))</formula>
    </cfRule>
    <cfRule type="containsText" dxfId="364" priority="322" operator="containsText" text="Preissteigerung zu niedrig">
      <formula>NOT(ISERROR(SEARCH("Preissteigerung zu niedrig",H47)))</formula>
    </cfRule>
    <cfRule type="containsText" dxfId="363" priority="323" operator="containsText" text="Mindestpreissteigerung erreicht">
      <formula>NOT(ISERROR(SEARCH("Mindestpreissteigerung erreicht",H47)))</formula>
    </cfRule>
  </conditionalFormatting>
  <conditionalFormatting sqref="H54">
    <cfRule type="containsText" dxfId="362" priority="310" operator="containsText" text="Betroffenheitsgrad zu niedrig">
      <formula>NOT(ISERROR(SEARCH("Betroffenheitsgrad zu niedrig",H54)))</formula>
    </cfRule>
    <cfRule type="containsText" dxfId="361" priority="311" operator="containsText" text="Mindestgrad erreicht">
      <formula>NOT(ISERROR(SEARCH("Mindestgrad erreicht",H54)))</formula>
    </cfRule>
    <cfRule type="containsText" dxfId="360" priority="312" operator="containsText" text="Preissteigerung zu niedrig">
      <formula>NOT(ISERROR(SEARCH("Preissteigerung zu niedrig",H54)))</formula>
    </cfRule>
    <cfRule type="containsText" dxfId="359" priority="313" operator="containsText" text="Mindestpreissteigerung erreicht">
      <formula>NOT(ISERROR(SEARCH("Mindestpreissteigerung erreicht",H54)))</formula>
    </cfRule>
  </conditionalFormatting>
  <conditionalFormatting sqref="H54">
    <cfRule type="containsText" dxfId="358" priority="306" operator="containsText" text="Betroffenheitsgrad zu niedrig">
      <formula>NOT(ISERROR(SEARCH("Betroffenheitsgrad zu niedrig",H54)))</formula>
    </cfRule>
    <cfRule type="containsText" dxfId="357" priority="307" operator="containsText" text="Mindestgrad erreicht">
      <formula>NOT(ISERROR(SEARCH("Mindestgrad erreicht",H54)))</formula>
    </cfRule>
    <cfRule type="containsText" dxfId="356" priority="308" operator="containsText" text="Preissteigerung zu niedrig">
      <formula>NOT(ISERROR(SEARCH("Preissteigerung zu niedrig",H54)))</formula>
    </cfRule>
    <cfRule type="containsText" dxfId="355" priority="309" operator="containsText" text="Mindestpreissteigerung erreicht">
      <formula>NOT(ISERROR(SEARCH("Mindestpreissteigerung erreicht",H54)))</formula>
    </cfRule>
  </conditionalFormatting>
  <conditionalFormatting sqref="H62">
    <cfRule type="containsText" dxfId="354" priority="292" operator="containsText" text="Betroffenheitsgrad zu niedrig">
      <formula>NOT(ISERROR(SEARCH("Betroffenheitsgrad zu niedrig",H62)))</formula>
    </cfRule>
    <cfRule type="containsText" dxfId="353" priority="293" operator="containsText" text="Mindestgrad erreicht">
      <formula>NOT(ISERROR(SEARCH("Mindestgrad erreicht",H62)))</formula>
    </cfRule>
    <cfRule type="containsText" dxfId="352" priority="294" operator="containsText" text="Preissteigerung zu niedrig">
      <formula>NOT(ISERROR(SEARCH("Preissteigerung zu niedrig",H62)))</formula>
    </cfRule>
    <cfRule type="containsText" dxfId="351" priority="295" operator="containsText" text="Mindestpreissteigerung erreicht">
      <formula>NOT(ISERROR(SEARCH("Mindestpreissteigerung erreicht",H62)))</formula>
    </cfRule>
  </conditionalFormatting>
  <conditionalFormatting sqref="H62">
    <cfRule type="containsText" dxfId="350" priority="288" operator="containsText" text="Betroffenheitsgrad zu niedrig">
      <formula>NOT(ISERROR(SEARCH("Betroffenheitsgrad zu niedrig",H62)))</formula>
    </cfRule>
    <cfRule type="containsText" dxfId="349" priority="289" operator="containsText" text="Mindestgrad erreicht">
      <formula>NOT(ISERROR(SEARCH("Mindestgrad erreicht",H62)))</formula>
    </cfRule>
    <cfRule type="containsText" dxfId="348" priority="290" operator="containsText" text="Preissteigerung zu niedrig">
      <formula>NOT(ISERROR(SEARCH("Preissteigerung zu niedrig",H62)))</formula>
    </cfRule>
    <cfRule type="containsText" dxfId="347" priority="291" operator="containsText" text="Mindestpreissteigerung erreicht">
      <formula>NOT(ISERROR(SEARCH("Mindestpreissteigerung erreicht",H62)))</formula>
    </cfRule>
  </conditionalFormatting>
  <conditionalFormatting sqref="E5:E6 C5:C6 G5:G6 A13:J17 F18:J18 A18:D18 A64:B64 E22:J22 A22 A23:J23 B1 A30:J31 A65:J1048576 E43 G43 A43:C43 A49:J50 E51 G51 A51:C51 A57:J58 E59 G59 A59:C59 A2:J4 I10:J12 G9:J9 I8:J8 G8 B9:C9 A10:B12 D1:J1 I5:J6 C7:J7 A5:B8 A20:J21 A19:G19 I19:J19 A27:J28 A26:G26 I25:J26 A34:J35 A32:G33 I32:J33 A27:A29 A34:A36 A37:J42 A45:J47 I43:J44 A44:G44 A46:A48 A53:J55 I51:J52 A52:G52 A54:A56 A61:J63 I59:J60 A60:G60 A62:A64 E36:J36 E48:J48 E56:J56 E64:J64">
    <cfRule type="containsText" dxfId="346" priority="254" operator="containsText" text="Mindestbetroffenheitsgrad erreicht">
      <formula>NOT(ISERROR(SEARCH("Mindestbetroffenheitsgrad erreicht",A1)))</formula>
    </cfRule>
    <cfRule type="containsText" dxfId="345" priority="284" operator="containsText" text="Betroffenheitsgrad zu niedrig">
      <formula>NOT(ISERROR(SEARCH("Betroffenheitsgrad zu niedrig",A1)))</formula>
    </cfRule>
    <cfRule type="containsText" dxfId="344" priority="286" operator="containsText" text="Preissteigerung zu niedrig">
      <formula>NOT(ISERROR(SEARCH("Preissteigerung zu niedrig",A1)))</formula>
    </cfRule>
    <cfRule type="containsText" dxfId="343" priority="287" operator="containsText" text="Mindestpreissteigerung erreicht">
      <formula>NOT(ISERROR(SEARCH("Mindestpreissteigerung erreicht",A1)))</formula>
    </cfRule>
    <cfRule type="containsText" dxfId="342" priority="296" operator="containsText" text="Bagatellgrenze nicht erreicht">
      <formula>NOT(ISERROR(SEARCH("Bagatellgrenze nicht erreicht",A1)))</formula>
    </cfRule>
  </conditionalFormatting>
  <conditionalFormatting sqref="D5">
    <cfRule type="expression" dxfId="341" priority="207">
      <formula>$D$5=""</formula>
    </cfRule>
    <cfRule type="containsText" dxfId="340" priority="239" operator="containsText" text="Mindestbetroffenheitsgrad erreicht">
      <formula>NOT(ISERROR(SEARCH("Mindestbetroffenheitsgrad erreicht",D5)))</formula>
    </cfRule>
    <cfRule type="containsText" dxfId="339" priority="240" operator="containsText" text="Betroffenheitsgrad zu niedrig">
      <formula>NOT(ISERROR(SEARCH("Betroffenheitsgrad zu niedrig",D5)))</formula>
    </cfRule>
    <cfRule type="containsText" dxfId="338" priority="241" operator="containsText" text="Preissteigerung zu niedrig">
      <formula>NOT(ISERROR(SEARCH("Preissteigerung zu niedrig",D5)))</formula>
    </cfRule>
    <cfRule type="containsText" dxfId="337" priority="242" operator="containsText" text="Mindestpreissteigerung erreicht">
      <formula>NOT(ISERROR(SEARCH("Mindestpreissteigerung erreicht",D5)))</formula>
    </cfRule>
    <cfRule type="containsText" dxfId="336" priority="243" operator="containsText" text="Bagatellgrenze nicht erreicht">
      <formula>NOT(ISERROR(SEARCH("Bagatellgrenze nicht erreicht",D5)))</formula>
    </cfRule>
  </conditionalFormatting>
  <conditionalFormatting sqref="D6">
    <cfRule type="containsText" dxfId="335" priority="234" operator="containsText" text="Mindestbetroffenheitsgrad erreicht">
      <formula>NOT(ISERROR(SEARCH("Mindestbetroffenheitsgrad erreicht",D6)))</formula>
    </cfRule>
    <cfRule type="containsText" dxfId="334" priority="235" operator="containsText" text="Betroffenheitsgrad zu niedrig">
      <formula>NOT(ISERROR(SEARCH("Betroffenheitsgrad zu niedrig",D6)))</formula>
    </cfRule>
    <cfRule type="containsText" dxfId="333" priority="236" operator="containsText" text="Preissteigerung zu niedrig">
      <formula>NOT(ISERROR(SEARCH("Preissteigerung zu niedrig",D6)))</formula>
    </cfRule>
    <cfRule type="containsText" dxfId="332" priority="237" operator="containsText" text="Mindestpreissteigerung erreicht">
      <formula>NOT(ISERROR(SEARCH("Mindestpreissteigerung erreicht",D6)))</formula>
    </cfRule>
    <cfRule type="containsText" dxfId="331" priority="238" operator="containsText" text="Bagatellgrenze nicht erreicht">
      <formula>NOT(ISERROR(SEARCH("Bagatellgrenze nicht erreicht",D6)))</formula>
    </cfRule>
  </conditionalFormatting>
  <conditionalFormatting sqref="F5">
    <cfRule type="containsText" dxfId="330" priority="219" operator="containsText" text="Mindestbetroffenheitsgrad erreicht">
      <formula>NOT(ISERROR(SEARCH("Mindestbetroffenheitsgrad erreicht",F5)))</formula>
    </cfRule>
    <cfRule type="containsText" dxfId="329" priority="220" operator="containsText" text="Betroffenheitsgrad zu niedrig">
      <formula>NOT(ISERROR(SEARCH("Betroffenheitsgrad zu niedrig",F5)))</formula>
    </cfRule>
    <cfRule type="containsText" dxfId="328" priority="221" operator="containsText" text="Preissteigerung zu niedrig">
      <formula>NOT(ISERROR(SEARCH("Preissteigerung zu niedrig",F5)))</formula>
    </cfRule>
    <cfRule type="containsText" dxfId="327" priority="222" operator="containsText" text="Mindestpreissteigerung erreicht">
      <formula>NOT(ISERROR(SEARCH("Mindestpreissteigerung erreicht",F5)))</formula>
    </cfRule>
    <cfRule type="containsText" dxfId="326" priority="223" operator="containsText" text="Bagatellgrenze nicht erreicht">
      <formula>NOT(ISERROR(SEARCH("Bagatellgrenze nicht erreicht",F5)))</formula>
    </cfRule>
  </conditionalFormatting>
  <conditionalFormatting sqref="F6">
    <cfRule type="containsText" dxfId="325" priority="214" operator="containsText" text="Mindestbetroffenheitsgrad erreicht">
      <formula>NOT(ISERROR(SEARCH("Mindestbetroffenheitsgrad erreicht",F6)))</formula>
    </cfRule>
    <cfRule type="containsText" dxfId="324" priority="215" operator="containsText" text="Betroffenheitsgrad zu niedrig">
      <formula>NOT(ISERROR(SEARCH("Betroffenheitsgrad zu niedrig",F6)))</formula>
    </cfRule>
    <cfRule type="containsText" dxfId="323" priority="216" operator="containsText" text="Preissteigerung zu niedrig">
      <formula>NOT(ISERROR(SEARCH("Preissteigerung zu niedrig",F6)))</formula>
    </cfRule>
    <cfRule type="containsText" dxfId="322" priority="217" operator="containsText" text="Mindestpreissteigerung erreicht">
      <formula>NOT(ISERROR(SEARCH("Mindestpreissteigerung erreicht",F6)))</formula>
    </cfRule>
    <cfRule type="containsText" dxfId="321" priority="218" operator="containsText" text="Bagatellgrenze nicht erreicht">
      <formula>NOT(ISERROR(SEARCH("Bagatellgrenze nicht erreicht",F6)))</formula>
    </cfRule>
  </conditionalFormatting>
  <conditionalFormatting sqref="B56">
    <cfRule type="containsText" dxfId="320" priority="196" operator="containsText" text="Mindestbetroffenheitsgrad erreicht">
      <formula>NOT(ISERROR(SEARCH("Mindestbetroffenheitsgrad erreicht",B56)))</formula>
    </cfRule>
    <cfRule type="containsText" dxfId="319" priority="197" operator="containsText" text="Betroffenheitsgrad zu niedrig">
      <formula>NOT(ISERROR(SEARCH("Betroffenheitsgrad zu niedrig",B56)))</formula>
    </cfRule>
    <cfRule type="containsText" dxfId="318" priority="198" operator="containsText" text="Preissteigerung zu niedrig">
      <formula>NOT(ISERROR(SEARCH("Preissteigerung zu niedrig",B56)))</formula>
    </cfRule>
    <cfRule type="containsText" dxfId="317" priority="199" operator="containsText" text="Mindestpreissteigerung erreicht">
      <formula>NOT(ISERROR(SEARCH("Mindestpreissteigerung erreicht",B56)))</formula>
    </cfRule>
    <cfRule type="containsText" dxfId="316" priority="200" operator="containsText" text="Bagatellgrenze nicht erreicht">
      <formula>NOT(ISERROR(SEARCH("Bagatellgrenze nicht erreicht",B56)))</formula>
    </cfRule>
  </conditionalFormatting>
  <conditionalFormatting sqref="B48">
    <cfRule type="containsText" dxfId="315" priority="191" operator="containsText" text="Mindestbetroffenheitsgrad erreicht">
      <formula>NOT(ISERROR(SEARCH("Mindestbetroffenheitsgrad erreicht",B48)))</formula>
    </cfRule>
    <cfRule type="containsText" dxfId="314" priority="192" operator="containsText" text="Betroffenheitsgrad zu niedrig">
      <formula>NOT(ISERROR(SEARCH("Betroffenheitsgrad zu niedrig",B48)))</formula>
    </cfRule>
    <cfRule type="containsText" dxfId="313" priority="193" operator="containsText" text="Preissteigerung zu niedrig">
      <formula>NOT(ISERROR(SEARCH("Preissteigerung zu niedrig",B48)))</formula>
    </cfRule>
    <cfRule type="containsText" dxfId="312" priority="194" operator="containsText" text="Mindestpreissteigerung erreicht">
      <formula>NOT(ISERROR(SEARCH("Mindestpreissteigerung erreicht",B48)))</formula>
    </cfRule>
    <cfRule type="containsText" dxfId="311" priority="195" operator="containsText" text="Bagatellgrenze nicht erreicht">
      <formula>NOT(ISERROR(SEARCH("Bagatellgrenze nicht erreicht",B48)))</formula>
    </cfRule>
  </conditionalFormatting>
  <conditionalFormatting sqref="B36">
    <cfRule type="containsText" dxfId="310" priority="186" operator="containsText" text="Mindestbetroffenheitsgrad erreicht">
      <formula>NOT(ISERROR(SEARCH("Mindestbetroffenheitsgrad erreicht",B36)))</formula>
    </cfRule>
    <cfRule type="containsText" dxfId="309" priority="187" operator="containsText" text="Betroffenheitsgrad zu niedrig">
      <formula>NOT(ISERROR(SEARCH("Betroffenheitsgrad zu niedrig",B36)))</formula>
    </cfRule>
    <cfRule type="containsText" dxfId="308" priority="188" operator="containsText" text="Preissteigerung zu niedrig">
      <formula>NOT(ISERROR(SEARCH("Preissteigerung zu niedrig",B36)))</formula>
    </cfRule>
    <cfRule type="containsText" dxfId="307" priority="189" operator="containsText" text="Mindestpreissteigerung erreicht">
      <formula>NOT(ISERROR(SEARCH("Mindestpreissteigerung erreicht",B36)))</formula>
    </cfRule>
    <cfRule type="containsText" dxfId="306" priority="190" operator="containsText" text="Bagatellgrenze nicht erreicht">
      <formula>NOT(ISERROR(SEARCH("Bagatellgrenze nicht erreicht",B36)))</formula>
    </cfRule>
  </conditionalFormatting>
  <conditionalFormatting sqref="B22">
    <cfRule type="containsText" dxfId="305" priority="181" operator="containsText" text="Mindestbetroffenheitsgrad erreicht">
      <formula>NOT(ISERROR(SEARCH("Mindestbetroffenheitsgrad erreicht",B22)))</formula>
    </cfRule>
    <cfRule type="containsText" dxfId="304" priority="182" operator="containsText" text="Betroffenheitsgrad zu niedrig">
      <formula>NOT(ISERROR(SEARCH("Betroffenheitsgrad zu niedrig",B22)))</formula>
    </cfRule>
    <cfRule type="containsText" dxfId="303" priority="183" operator="containsText" text="Preissteigerung zu niedrig">
      <formula>NOT(ISERROR(SEARCH("Preissteigerung zu niedrig",B22)))</formula>
    </cfRule>
    <cfRule type="containsText" dxfId="302" priority="184" operator="containsText" text="Mindestpreissteigerung erreicht">
      <formula>NOT(ISERROR(SEARCH("Mindestpreissteigerung erreicht",B22)))</formula>
    </cfRule>
    <cfRule type="containsText" dxfId="301" priority="185" operator="containsText" text="Bagatellgrenze nicht erreicht">
      <formula>NOT(ISERROR(SEARCH("Bagatellgrenze nicht erreicht",B22)))</formula>
    </cfRule>
  </conditionalFormatting>
  <conditionalFormatting sqref="I29 H24:J24">
    <cfRule type="containsText" dxfId="300" priority="177" operator="containsText" text="Betroffenheitsgrad zu niedrig">
      <formula>NOT(ISERROR(SEARCH("Betroffenheitsgrad zu niedrig",H24)))</formula>
    </cfRule>
    <cfRule type="containsText" dxfId="299" priority="178" operator="containsText" text="Mindestgrad erreicht">
      <formula>NOT(ISERROR(SEARCH("Mindestgrad erreicht",H24)))</formula>
    </cfRule>
    <cfRule type="containsText" dxfId="298" priority="179" operator="containsText" text="Preissteigerung zu niedrig">
      <formula>NOT(ISERROR(SEARCH("Preissteigerung zu niedrig",H24)))</formula>
    </cfRule>
    <cfRule type="containsText" dxfId="297" priority="180" operator="containsText" text="Mindestpreissteigerung erreicht">
      <formula>NOT(ISERROR(SEARCH("Mindestpreissteigerung erreicht",H24)))</formula>
    </cfRule>
  </conditionalFormatting>
  <conditionalFormatting sqref="H24">
    <cfRule type="containsText" dxfId="296" priority="175" operator="containsText" text="Bagatellgrenze von 2.500 € nicht erreicht">
      <formula>NOT(ISERROR(SEARCH("Bagatellgrenze von 2.500 € nicht erreicht",H24)))</formula>
    </cfRule>
    <cfRule type="containsText" dxfId="295" priority="176" operator="containsText" text="Preisweitergabe, Ausschluss">
      <formula>NOT(ISERROR(SEARCH("Preisweitergabe, Ausschluss",H24)))</formula>
    </cfRule>
  </conditionalFormatting>
  <conditionalFormatting sqref="H27">
    <cfRule type="containsText" dxfId="294" priority="171" operator="containsText" text="Betroffenheitsgrad zu niedrig">
      <formula>NOT(ISERROR(SEARCH("Betroffenheitsgrad zu niedrig",H27)))</formula>
    </cfRule>
    <cfRule type="containsText" dxfId="293" priority="172" operator="containsText" text="Mindestgrad erreicht">
      <formula>NOT(ISERROR(SEARCH("Mindestgrad erreicht",H27)))</formula>
    </cfRule>
    <cfRule type="containsText" dxfId="292" priority="173" operator="containsText" text="Preissteigerung zu niedrig">
      <formula>NOT(ISERROR(SEARCH("Preissteigerung zu niedrig",H27)))</formula>
    </cfRule>
    <cfRule type="containsText" dxfId="291" priority="174" operator="containsText" text="Mindestpreissteigerung erreicht">
      <formula>NOT(ISERROR(SEARCH("Mindestpreissteigerung erreicht",H27)))</formula>
    </cfRule>
  </conditionalFormatting>
  <conditionalFormatting sqref="H27">
    <cfRule type="containsText" dxfId="290" priority="167" operator="containsText" text="Betroffenheitsgrad zu niedrig">
      <formula>NOT(ISERROR(SEARCH("Betroffenheitsgrad zu niedrig",H27)))</formula>
    </cfRule>
    <cfRule type="containsText" dxfId="289" priority="168" operator="containsText" text="Mindestgrad erreicht">
      <formula>NOT(ISERROR(SEARCH("Mindestgrad erreicht",H27)))</formula>
    </cfRule>
    <cfRule type="containsText" dxfId="288" priority="169" operator="containsText" text="Preissteigerung zu niedrig">
      <formula>NOT(ISERROR(SEARCH("Preissteigerung zu niedrig",H27)))</formula>
    </cfRule>
    <cfRule type="containsText" dxfId="287" priority="170" operator="containsText" text="Mindestpreissteigerung erreicht">
      <formula>NOT(ISERROR(SEARCH("Mindestpreissteigerung erreicht",H27)))</formula>
    </cfRule>
  </conditionalFormatting>
  <conditionalFormatting sqref="H28">
    <cfRule type="containsText" dxfId="286" priority="163" operator="containsText" text="Betroffenheitsgrad zu niedrig">
      <formula>NOT(ISERROR(SEARCH("Betroffenheitsgrad zu niedrig",H28)))</formula>
    </cfRule>
    <cfRule type="containsText" dxfId="285" priority="164" operator="containsText" text="Mindestgrad erreicht">
      <formula>NOT(ISERROR(SEARCH("Mindestgrad erreicht",H28)))</formula>
    </cfRule>
    <cfRule type="containsText" dxfId="284" priority="165" operator="containsText" text="Preissteigerung zu niedrig">
      <formula>NOT(ISERROR(SEARCH("Preissteigerung zu niedrig",H28)))</formula>
    </cfRule>
    <cfRule type="containsText" dxfId="283" priority="166" operator="containsText" text="Mindestpreissteigerung erreicht">
      <formula>NOT(ISERROR(SEARCH("Mindestpreissteigerung erreicht",H28)))</formula>
    </cfRule>
  </conditionalFormatting>
  <conditionalFormatting sqref="A24:J24 F25:G25 A25:D25 E29 A29 G29 I29:J29">
    <cfRule type="containsText" dxfId="282" priority="158" operator="containsText" text="Mindestbetroffenheitsgrad erreicht">
      <formula>NOT(ISERROR(SEARCH("Mindestbetroffenheitsgrad erreicht",A24)))</formula>
    </cfRule>
    <cfRule type="containsText" dxfId="281" priority="159" operator="containsText" text="Betroffenheitsgrad zu niedrig">
      <formula>NOT(ISERROR(SEARCH("Betroffenheitsgrad zu niedrig",A24)))</formula>
    </cfRule>
    <cfRule type="containsText" dxfId="280" priority="160" operator="containsText" text="Preissteigerung zu niedrig">
      <formula>NOT(ISERROR(SEARCH("Preissteigerung zu niedrig",A24)))</formula>
    </cfRule>
    <cfRule type="containsText" dxfId="279" priority="161" operator="containsText" text="Mindestpreissteigerung erreicht">
      <formula>NOT(ISERROR(SEARCH("Mindestpreissteigerung erreicht",A24)))</formula>
    </cfRule>
    <cfRule type="containsText" dxfId="278" priority="162" operator="containsText" text="Bagatellgrenze nicht erreicht">
      <formula>NOT(ISERROR(SEARCH("Bagatellgrenze nicht erreicht",A24)))</formula>
    </cfRule>
  </conditionalFormatting>
  <conditionalFormatting sqref="B29">
    <cfRule type="containsText" dxfId="277" priority="152" operator="containsText" text="Mindestbetroffenheitsgrad erreicht">
      <formula>NOT(ISERROR(SEARCH("Mindestbetroffenheitsgrad erreicht",B29)))</formula>
    </cfRule>
    <cfRule type="containsText" dxfId="276" priority="153" operator="containsText" text="Betroffenheitsgrad zu niedrig">
      <formula>NOT(ISERROR(SEARCH("Betroffenheitsgrad zu niedrig",B29)))</formula>
    </cfRule>
    <cfRule type="containsText" dxfId="275" priority="154" operator="containsText" text="Preissteigerung zu niedrig">
      <formula>NOT(ISERROR(SEARCH("Preissteigerung zu niedrig",B29)))</formula>
    </cfRule>
    <cfRule type="containsText" dxfId="274" priority="155" operator="containsText" text="Mindestpreissteigerung erreicht">
      <formula>NOT(ISERROR(SEARCH("Mindestpreissteigerung erreicht",B29)))</formula>
    </cfRule>
    <cfRule type="containsText" dxfId="273" priority="156" operator="containsText" text="Bagatellgrenze nicht erreicht">
      <formula>NOT(ISERROR(SEARCH("Bagatellgrenze nicht erreicht",B29)))</formula>
    </cfRule>
  </conditionalFormatting>
  <conditionalFormatting sqref="H25">
    <cfRule type="containsText" dxfId="272" priority="148" operator="containsText" text="Betroffenheitsgrad zu niedrig">
      <formula>NOT(ISERROR(SEARCH("Betroffenheitsgrad zu niedrig",H25)))</formula>
    </cfRule>
    <cfRule type="containsText" dxfId="271" priority="149" operator="containsText" text="Mindestgrad erreicht">
      <formula>NOT(ISERROR(SEARCH("Mindestgrad erreicht",H25)))</formula>
    </cfRule>
    <cfRule type="containsText" dxfId="270" priority="150" operator="containsText" text="Preissteigerung zu niedrig">
      <formula>NOT(ISERROR(SEARCH("Preissteigerung zu niedrig",H25)))</formula>
    </cfRule>
    <cfRule type="containsText" dxfId="269" priority="151" operator="containsText" text="Mindestpreissteigerung erreicht">
      <formula>NOT(ISERROR(SEARCH("Mindestpreissteigerung erreicht",H25)))</formula>
    </cfRule>
  </conditionalFormatting>
  <conditionalFormatting sqref="H25">
    <cfRule type="containsText" dxfId="268" priority="146" operator="containsText" text="Bagatellgrenze von 2.500 € nicht erreicht">
      <formula>NOT(ISERROR(SEARCH("Bagatellgrenze von 2.500 € nicht erreicht",H25)))</formula>
    </cfRule>
    <cfRule type="containsText" dxfId="267" priority="147" operator="containsText" text="Preisweitergabe, Ausschluss">
      <formula>NOT(ISERROR(SEARCH("Preisweitergabe, Ausschluss",H25)))</formula>
    </cfRule>
  </conditionalFormatting>
  <conditionalFormatting sqref="H25">
    <cfRule type="containsText" dxfId="266" priority="141" operator="containsText" text="Mindestbetroffenheitsgrad erreicht">
      <formula>NOT(ISERROR(SEARCH("Mindestbetroffenheitsgrad erreicht",H25)))</formula>
    </cfRule>
    <cfRule type="containsText" dxfId="265" priority="142" operator="containsText" text="Betroffenheitsgrad zu niedrig">
      <formula>NOT(ISERROR(SEARCH("Betroffenheitsgrad zu niedrig",H25)))</formula>
    </cfRule>
    <cfRule type="containsText" dxfId="264" priority="143" operator="containsText" text="Preissteigerung zu niedrig">
      <formula>NOT(ISERROR(SEARCH("Preissteigerung zu niedrig",H25)))</formula>
    </cfRule>
    <cfRule type="containsText" dxfId="263" priority="144" operator="containsText" text="Mindestpreissteigerung erreicht">
      <formula>NOT(ISERROR(SEARCH("Mindestpreissteigerung erreicht",H25)))</formula>
    </cfRule>
    <cfRule type="containsText" dxfId="262" priority="145" operator="containsText" text="Bagatellgrenze nicht erreicht">
      <formula>NOT(ISERROR(SEARCH("Bagatellgrenze nicht erreicht",H25)))</formula>
    </cfRule>
  </conditionalFormatting>
  <conditionalFormatting sqref="H32">
    <cfRule type="containsText" dxfId="261" priority="137" operator="containsText" text="Betroffenheitsgrad zu niedrig">
      <formula>NOT(ISERROR(SEARCH("Betroffenheitsgrad zu niedrig",H32)))</formula>
    </cfRule>
    <cfRule type="containsText" dxfId="260" priority="138" operator="containsText" text="Mindestgrad erreicht">
      <formula>NOT(ISERROR(SEARCH("Mindestgrad erreicht",H32)))</formula>
    </cfRule>
    <cfRule type="containsText" dxfId="259" priority="139" operator="containsText" text="Preissteigerung zu niedrig">
      <formula>NOT(ISERROR(SEARCH("Preissteigerung zu niedrig",H32)))</formula>
    </cfRule>
    <cfRule type="containsText" dxfId="258" priority="140" operator="containsText" text="Mindestpreissteigerung erreicht">
      <formula>NOT(ISERROR(SEARCH("Mindestpreissteigerung erreicht",H32)))</formula>
    </cfRule>
  </conditionalFormatting>
  <conditionalFormatting sqref="H32">
    <cfRule type="containsText" dxfId="257" priority="135" operator="containsText" text="Bagatellgrenze von 2.500 € nicht erreicht">
      <formula>NOT(ISERROR(SEARCH("Bagatellgrenze von 2.500 € nicht erreicht",H32)))</formula>
    </cfRule>
    <cfRule type="containsText" dxfId="256" priority="136" operator="containsText" text="Preisweitergabe, Ausschluss">
      <formula>NOT(ISERROR(SEARCH("Preisweitergabe, Ausschluss",H32)))</formula>
    </cfRule>
  </conditionalFormatting>
  <conditionalFormatting sqref="H32">
    <cfRule type="containsText" dxfId="255" priority="130" operator="containsText" text="Mindestbetroffenheitsgrad erreicht">
      <formula>NOT(ISERROR(SEARCH("Mindestbetroffenheitsgrad erreicht",H32)))</formula>
    </cfRule>
    <cfRule type="containsText" dxfId="254" priority="131" operator="containsText" text="Betroffenheitsgrad zu niedrig">
      <formula>NOT(ISERROR(SEARCH("Betroffenheitsgrad zu niedrig",H32)))</formula>
    </cfRule>
    <cfRule type="containsText" dxfId="253" priority="132" operator="containsText" text="Preissteigerung zu niedrig">
      <formula>NOT(ISERROR(SEARCH("Preissteigerung zu niedrig",H32)))</formula>
    </cfRule>
    <cfRule type="containsText" dxfId="252" priority="133" operator="containsText" text="Mindestpreissteigerung erreicht">
      <formula>NOT(ISERROR(SEARCH("Mindestpreissteigerung erreicht",H32)))</formula>
    </cfRule>
    <cfRule type="containsText" dxfId="251" priority="134" operator="containsText" text="Bagatellgrenze nicht erreicht">
      <formula>NOT(ISERROR(SEARCH("Bagatellgrenze nicht erreicht",H32)))</formula>
    </cfRule>
  </conditionalFormatting>
  <conditionalFormatting sqref="H43">
    <cfRule type="containsText" dxfId="250" priority="126" operator="containsText" text="Betroffenheitsgrad zu niedrig">
      <formula>NOT(ISERROR(SEARCH("Betroffenheitsgrad zu niedrig",H43)))</formula>
    </cfRule>
    <cfRule type="containsText" dxfId="249" priority="127" operator="containsText" text="Mindestgrad erreicht">
      <formula>NOT(ISERROR(SEARCH("Mindestgrad erreicht",H43)))</formula>
    </cfRule>
    <cfRule type="containsText" dxfId="248" priority="128" operator="containsText" text="Preissteigerung zu niedrig">
      <formula>NOT(ISERROR(SEARCH("Preissteigerung zu niedrig",H43)))</formula>
    </cfRule>
    <cfRule type="containsText" dxfId="247" priority="129" operator="containsText" text="Mindestpreissteigerung erreicht">
      <formula>NOT(ISERROR(SEARCH("Mindestpreissteigerung erreicht",H43)))</formula>
    </cfRule>
  </conditionalFormatting>
  <conditionalFormatting sqref="H43">
    <cfRule type="containsText" dxfId="246" priority="124" operator="containsText" text="Bagatellgrenze von 2.500 € nicht erreicht">
      <formula>NOT(ISERROR(SEARCH("Bagatellgrenze von 2.500 € nicht erreicht",H43)))</formula>
    </cfRule>
    <cfRule type="containsText" dxfId="245" priority="125" operator="containsText" text="Preisweitergabe, Ausschluss">
      <formula>NOT(ISERROR(SEARCH("Preisweitergabe, Ausschluss",H43)))</formula>
    </cfRule>
  </conditionalFormatting>
  <conditionalFormatting sqref="H43">
    <cfRule type="containsText" dxfId="244" priority="119" operator="containsText" text="Mindestbetroffenheitsgrad erreicht">
      <formula>NOT(ISERROR(SEARCH("Mindestbetroffenheitsgrad erreicht",H43)))</formula>
    </cfRule>
    <cfRule type="containsText" dxfId="243" priority="120" operator="containsText" text="Betroffenheitsgrad zu niedrig">
      <formula>NOT(ISERROR(SEARCH("Betroffenheitsgrad zu niedrig",H43)))</formula>
    </cfRule>
    <cfRule type="containsText" dxfId="242" priority="121" operator="containsText" text="Preissteigerung zu niedrig">
      <formula>NOT(ISERROR(SEARCH("Preissteigerung zu niedrig",H43)))</formula>
    </cfRule>
    <cfRule type="containsText" dxfId="241" priority="122" operator="containsText" text="Mindestpreissteigerung erreicht">
      <formula>NOT(ISERROR(SEARCH("Mindestpreissteigerung erreicht",H43)))</formula>
    </cfRule>
    <cfRule type="containsText" dxfId="240" priority="123" operator="containsText" text="Bagatellgrenze nicht erreicht">
      <formula>NOT(ISERROR(SEARCH("Bagatellgrenze nicht erreicht",H43)))</formula>
    </cfRule>
  </conditionalFormatting>
  <conditionalFormatting sqref="H51">
    <cfRule type="containsText" dxfId="239" priority="115" operator="containsText" text="Betroffenheitsgrad zu niedrig">
      <formula>NOT(ISERROR(SEARCH("Betroffenheitsgrad zu niedrig",H51)))</formula>
    </cfRule>
    <cfRule type="containsText" dxfId="238" priority="116" operator="containsText" text="Mindestgrad erreicht">
      <formula>NOT(ISERROR(SEARCH("Mindestgrad erreicht",H51)))</formula>
    </cfRule>
    <cfRule type="containsText" dxfId="237" priority="117" operator="containsText" text="Preissteigerung zu niedrig">
      <formula>NOT(ISERROR(SEARCH("Preissteigerung zu niedrig",H51)))</formula>
    </cfRule>
    <cfRule type="containsText" dxfId="236" priority="118" operator="containsText" text="Mindestpreissteigerung erreicht">
      <formula>NOT(ISERROR(SEARCH("Mindestpreissteigerung erreicht",H51)))</formula>
    </cfRule>
  </conditionalFormatting>
  <conditionalFormatting sqref="H51">
    <cfRule type="containsText" dxfId="235" priority="113" operator="containsText" text="Bagatellgrenze von 2.500 € nicht erreicht">
      <formula>NOT(ISERROR(SEARCH("Bagatellgrenze von 2.500 € nicht erreicht",H51)))</formula>
    </cfRule>
    <cfRule type="containsText" dxfId="234" priority="114" operator="containsText" text="Preisweitergabe, Ausschluss">
      <formula>NOT(ISERROR(SEARCH("Preisweitergabe, Ausschluss",H51)))</formula>
    </cfRule>
  </conditionalFormatting>
  <conditionalFormatting sqref="H51">
    <cfRule type="containsText" dxfId="233" priority="108" operator="containsText" text="Mindestbetroffenheitsgrad erreicht">
      <formula>NOT(ISERROR(SEARCH("Mindestbetroffenheitsgrad erreicht",H51)))</formula>
    </cfRule>
    <cfRule type="containsText" dxfId="232" priority="109" operator="containsText" text="Betroffenheitsgrad zu niedrig">
      <formula>NOT(ISERROR(SEARCH("Betroffenheitsgrad zu niedrig",H51)))</formula>
    </cfRule>
    <cfRule type="containsText" dxfId="231" priority="110" operator="containsText" text="Preissteigerung zu niedrig">
      <formula>NOT(ISERROR(SEARCH("Preissteigerung zu niedrig",H51)))</formula>
    </cfRule>
    <cfRule type="containsText" dxfId="230" priority="111" operator="containsText" text="Mindestpreissteigerung erreicht">
      <formula>NOT(ISERROR(SEARCH("Mindestpreissteigerung erreicht",H51)))</formula>
    </cfRule>
    <cfRule type="containsText" dxfId="229" priority="112" operator="containsText" text="Bagatellgrenze nicht erreicht">
      <formula>NOT(ISERROR(SEARCH("Bagatellgrenze nicht erreicht",H51)))</formula>
    </cfRule>
  </conditionalFormatting>
  <conditionalFormatting sqref="H59">
    <cfRule type="containsText" dxfId="228" priority="104" operator="containsText" text="Betroffenheitsgrad zu niedrig">
      <formula>NOT(ISERROR(SEARCH("Betroffenheitsgrad zu niedrig",H59)))</formula>
    </cfRule>
    <cfRule type="containsText" dxfId="227" priority="105" operator="containsText" text="Mindestgrad erreicht">
      <formula>NOT(ISERROR(SEARCH("Mindestgrad erreicht",H59)))</formula>
    </cfRule>
    <cfRule type="containsText" dxfId="226" priority="106" operator="containsText" text="Preissteigerung zu niedrig">
      <formula>NOT(ISERROR(SEARCH("Preissteigerung zu niedrig",H59)))</formula>
    </cfRule>
    <cfRule type="containsText" dxfId="225" priority="107" operator="containsText" text="Mindestpreissteigerung erreicht">
      <formula>NOT(ISERROR(SEARCH("Mindestpreissteigerung erreicht",H59)))</formula>
    </cfRule>
  </conditionalFormatting>
  <conditionalFormatting sqref="H59">
    <cfRule type="containsText" dxfId="224" priority="102" operator="containsText" text="Bagatellgrenze von 2.500 € nicht erreicht">
      <formula>NOT(ISERROR(SEARCH("Bagatellgrenze von 2.500 € nicht erreicht",H59)))</formula>
    </cfRule>
    <cfRule type="containsText" dxfId="223" priority="103" operator="containsText" text="Preisweitergabe, Ausschluss">
      <formula>NOT(ISERROR(SEARCH("Preisweitergabe, Ausschluss",H59)))</formula>
    </cfRule>
  </conditionalFormatting>
  <conditionalFormatting sqref="H59">
    <cfRule type="containsText" dxfId="222" priority="97" operator="containsText" text="Mindestbetroffenheitsgrad erreicht">
      <formula>NOT(ISERROR(SEARCH("Mindestbetroffenheitsgrad erreicht",H59)))</formula>
    </cfRule>
    <cfRule type="containsText" dxfId="221" priority="98" operator="containsText" text="Betroffenheitsgrad zu niedrig">
      <formula>NOT(ISERROR(SEARCH("Betroffenheitsgrad zu niedrig",H59)))</formula>
    </cfRule>
    <cfRule type="containsText" dxfId="220" priority="99" operator="containsText" text="Preissteigerung zu niedrig">
      <formula>NOT(ISERROR(SEARCH("Preissteigerung zu niedrig",H59)))</formula>
    </cfRule>
    <cfRule type="containsText" dxfId="219" priority="100" operator="containsText" text="Mindestpreissteigerung erreicht">
      <formula>NOT(ISERROR(SEARCH("Mindestpreissteigerung erreicht",H59)))</formula>
    </cfRule>
    <cfRule type="containsText" dxfId="218" priority="101" operator="containsText" text="Bagatellgrenze nicht erreicht">
      <formula>NOT(ISERROR(SEARCH("Bagatellgrenze nicht erreicht",H59)))</formula>
    </cfRule>
  </conditionalFormatting>
  <conditionalFormatting sqref="F29">
    <cfRule type="containsText" dxfId="217" priority="92" operator="containsText" text="Mindestbetroffenheitsgrad erreicht">
      <formula>NOT(ISERROR(SEARCH("Mindestbetroffenheitsgrad erreicht",F29)))</formula>
    </cfRule>
    <cfRule type="containsText" dxfId="216" priority="93" operator="containsText" text="Betroffenheitsgrad zu niedrig">
      <formula>NOT(ISERROR(SEARCH("Betroffenheitsgrad zu niedrig",F29)))</formula>
    </cfRule>
    <cfRule type="containsText" dxfId="215" priority="94" operator="containsText" text="Preissteigerung zu niedrig">
      <formula>NOT(ISERROR(SEARCH("Preissteigerung zu niedrig",F29)))</formula>
    </cfRule>
    <cfRule type="containsText" dxfId="214" priority="95" operator="containsText" text="Mindestpreissteigerung erreicht">
      <formula>NOT(ISERROR(SEARCH("Mindestpreissteigerung erreicht",F29)))</formula>
    </cfRule>
    <cfRule type="containsText" dxfId="213" priority="96" operator="containsText" text="Bagatellgrenze nicht erreicht">
      <formula>NOT(ISERROR(SEARCH("Bagatellgrenze nicht erreicht",F29)))</formula>
    </cfRule>
  </conditionalFormatting>
  <conditionalFormatting sqref="H29">
    <cfRule type="containsText" dxfId="212" priority="88" operator="containsText" text="Betroffenheitsgrad zu niedrig">
      <formula>NOT(ISERROR(SEARCH("Betroffenheitsgrad zu niedrig",H29)))</formula>
    </cfRule>
    <cfRule type="containsText" dxfId="211" priority="89" operator="containsText" text="Mindestgrad erreicht">
      <formula>NOT(ISERROR(SEARCH("Mindestgrad erreicht",H29)))</formula>
    </cfRule>
    <cfRule type="containsText" dxfId="210" priority="90" operator="containsText" text="Preissteigerung zu niedrig">
      <formula>NOT(ISERROR(SEARCH("Preissteigerung zu niedrig",H29)))</formula>
    </cfRule>
    <cfRule type="containsText" dxfId="209" priority="91" operator="containsText" text="Mindestpreissteigerung erreicht">
      <formula>NOT(ISERROR(SEARCH("Mindestpreissteigerung erreicht",H29)))</formula>
    </cfRule>
  </conditionalFormatting>
  <conditionalFormatting sqref="H29">
    <cfRule type="containsText" dxfId="208" priority="86" operator="containsText" text="Bagatellgrenze von 2.500 € nicht erreicht">
      <formula>NOT(ISERROR(SEARCH("Bagatellgrenze von 2.500 € nicht erreicht",H29)))</formula>
    </cfRule>
    <cfRule type="containsText" dxfId="207" priority="87" operator="containsText" text="Preisweitergabe, Ausschluss">
      <formula>NOT(ISERROR(SEARCH("Preisweitergabe, Ausschluss",H29)))</formula>
    </cfRule>
  </conditionalFormatting>
  <conditionalFormatting sqref="H29">
    <cfRule type="containsText" dxfId="206" priority="81" operator="containsText" text="Mindestbetroffenheitsgrad erreicht">
      <formula>NOT(ISERROR(SEARCH("Mindestbetroffenheitsgrad erreicht",H29)))</formula>
    </cfRule>
    <cfRule type="containsText" dxfId="205" priority="82" operator="containsText" text="Betroffenheitsgrad zu niedrig">
      <formula>NOT(ISERROR(SEARCH("Betroffenheitsgrad zu niedrig",H29)))</formula>
    </cfRule>
    <cfRule type="containsText" dxfId="204" priority="83" operator="containsText" text="Preissteigerung zu niedrig">
      <formula>NOT(ISERROR(SEARCH("Preissteigerung zu niedrig",H29)))</formula>
    </cfRule>
    <cfRule type="containsText" dxfId="203" priority="84" operator="containsText" text="Mindestpreissteigerung erreicht">
      <formula>NOT(ISERROR(SEARCH("Mindestpreissteigerung erreicht",H29)))</formula>
    </cfRule>
    <cfRule type="containsText" dxfId="202" priority="85" operator="containsText" text="Bagatellgrenze nicht erreicht">
      <formula>NOT(ISERROR(SEARCH("Bagatellgrenze nicht erreicht",H29)))</formula>
    </cfRule>
  </conditionalFormatting>
  <conditionalFormatting sqref="H5">
    <cfRule type="containsText" dxfId="201" priority="77" operator="containsText" text="Betroffenheitsgrad zu niedrig">
      <formula>NOT(ISERROR(SEARCH("Betroffenheitsgrad zu niedrig",H5)))</formula>
    </cfRule>
    <cfRule type="containsText" dxfId="200" priority="78" operator="containsText" text="Mindestgrad erreicht">
      <formula>NOT(ISERROR(SEARCH("Mindestgrad erreicht",H5)))</formula>
    </cfRule>
    <cfRule type="containsText" dxfId="199" priority="79" operator="containsText" text="Preissteigerung zu niedrig">
      <formula>NOT(ISERROR(SEARCH("Preissteigerung zu niedrig",H5)))</formula>
    </cfRule>
    <cfRule type="containsText" dxfId="198" priority="80" operator="containsText" text="Mindestpreissteigerung erreicht">
      <formula>NOT(ISERROR(SEARCH("Mindestpreissteigerung erreicht",H5)))</formula>
    </cfRule>
  </conditionalFormatting>
  <conditionalFormatting sqref="H5">
    <cfRule type="containsText" dxfId="197" priority="75" operator="containsText" text="Bagatellgrenze von 2.500 € nicht erreicht">
      <formula>NOT(ISERROR(SEARCH("Bagatellgrenze von 2.500 € nicht erreicht",H5)))</formula>
    </cfRule>
    <cfRule type="containsText" dxfId="196" priority="76" operator="containsText" text="Preisweitergabe, Ausschluss">
      <formula>NOT(ISERROR(SEARCH("Preisweitergabe, Ausschluss",H5)))</formula>
    </cfRule>
  </conditionalFormatting>
  <conditionalFormatting sqref="H5">
    <cfRule type="containsText" dxfId="195" priority="70" operator="containsText" text="Mindestbetroffenheitsgrad erreicht">
      <formula>NOT(ISERROR(SEARCH("Mindestbetroffenheitsgrad erreicht",H5)))</formula>
    </cfRule>
    <cfRule type="containsText" dxfId="194" priority="71" operator="containsText" text="Betroffenheitsgrad zu niedrig">
      <formula>NOT(ISERROR(SEARCH("Betroffenheitsgrad zu niedrig",H5)))</formula>
    </cfRule>
    <cfRule type="containsText" dxfId="193" priority="72" operator="containsText" text="Preissteigerung zu niedrig">
      <formula>NOT(ISERROR(SEARCH("Preissteigerung zu niedrig",H5)))</formula>
    </cfRule>
    <cfRule type="containsText" dxfId="192" priority="73" operator="containsText" text="Mindestpreissteigerung erreicht">
      <formula>NOT(ISERROR(SEARCH("Mindestpreissteigerung erreicht",H5)))</formula>
    </cfRule>
    <cfRule type="containsText" dxfId="191" priority="74" operator="containsText" text="Bagatellgrenze nicht erreicht">
      <formula>NOT(ISERROR(SEARCH("Bagatellgrenze nicht erreicht",H5)))</formula>
    </cfRule>
  </conditionalFormatting>
  <conditionalFormatting sqref="B10:H12">
    <cfRule type="expression" dxfId="190" priority="68">
      <formula>$M$13=1</formula>
    </cfRule>
  </conditionalFormatting>
  <conditionalFormatting sqref="I3:J13 A14:J67">
    <cfRule type="expression" dxfId="189" priority="67">
      <formula>$L$13=1</formula>
    </cfRule>
  </conditionalFormatting>
  <conditionalFormatting sqref="A20:H22">
    <cfRule type="expression" dxfId="188" priority="66">
      <formula>$D$18="Dateneingabe fehlt"</formula>
    </cfRule>
  </conditionalFormatting>
  <conditionalFormatting sqref="A27:H29">
    <cfRule type="expression" dxfId="187" priority="65">
      <formula>$D$25="Dateneingabe fehlt"</formula>
    </cfRule>
  </conditionalFormatting>
  <conditionalFormatting sqref="A34:H36">
    <cfRule type="expression" dxfId="186" priority="64">
      <formula>$D$32="Dateneingabe fehlt"</formula>
    </cfRule>
  </conditionalFormatting>
  <conditionalFormatting sqref="A46:H48">
    <cfRule type="expression" dxfId="185" priority="63">
      <formula>$D$44="Dateneingabe fehlt"</formula>
    </cfRule>
  </conditionalFormatting>
  <conditionalFormatting sqref="A54:H56">
    <cfRule type="expression" dxfId="184" priority="62">
      <formula>$D$52="Dateneingabe fehlt"</formula>
    </cfRule>
  </conditionalFormatting>
  <conditionalFormatting sqref="A62:H64">
    <cfRule type="expression" dxfId="183" priority="61">
      <formula>$D$60="Dateneingabe fehlt"</formula>
    </cfRule>
  </conditionalFormatting>
  <conditionalFormatting sqref="H25">
    <cfRule type="containsText" dxfId="182" priority="57" operator="containsText" text="Betroffenheitsgrad zu niedrig">
      <formula>NOT(ISERROR(SEARCH("Betroffenheitsgrad zu niedrig",H25)))</formula>
    </cfRule>
    <cfRule type="containsText" dxfId="181" priority="58" operator="containsText" text="Mindestgrad erreicht">
      <formula>NOT(ISERROR(SEARCH("Mindestgrad erreicht",H25)))</formula>
    </cfRule>
    <cfRule type="containsText" dxfId="180" priority="59" operator="containsText" text="Preissteigerung zu niedrig">
      <formula>NOT(ISERROR(SEARCH("Preissteigerung zu niedrig",H25)))</formula>
    </cfRule>
    <cfRule type="containsText" dxfId="179" priority="60" operator="containsText" text="Mindestpreissteigerung erreicht">
      <formula>NOT(ISERROR(SEARCH("Mindestpreissteigerung erreicht",H25)))</formula>
    </cfRule>
  </conditionalFormatting>
  <conditionalFormatting sqref="H25">
    <cfRule type="containsText" dxfId="178" priority="55" operator="containsText" text="Bagatellgrenze von 2.500 € nicht erreicht">
      <formula>NOT(ISERROR(SEARCH("Bagatellgrenze von 2.500 € nicht erreicht",H25)))</formula>
    </cfRule>
    <cfRule type="containsText" dxfId="177" priority="56" operator="containsText" text="Preisweitergabe, Ausschluss">
      <formula>NOT(ISERROR(SEARCH("Preisweitergabe, Ausschluss",H25)))</formula>
    </cfRule>
  </conditionalFormatting>
  <conditionalFormatting sqref="H25">
    <cfRule type="containsText" dxfId="176" priority="50" operator="containsText" text="Mindestbetroffenheitsgrad erreicht">
      <formula>NOT(ISERROR(SEARCH("Mindestbetroffenheitsgrad erreicht",H25)))</formula>
    </cfRule>
    <cfRule type="containsText" dxfId="175" priority="51" operator="containsText" text="Betroffenheitsgrad zu niedrig">
      <formula>NOT(ISERROR(SEARCH("Betroffenheitsgrad zu niedrig",H25)))</formula>
    </cfRule>
    <cfRule type="containsText" dxfId="174" priority="52" operator="containsText" text="Preissteigerung zu niedrig">
      <formula>NOT(ISERROR(SEARCH("Preissteigerung zu niedrig",H25)))</formula>
    </cfRule>
    <cfRule type="containsText" dxfId="173" priority="53" operator="containsText" text="Mindestpreissteigerung erreicht">
      <formula>NOT(ISERROR(SEARCH("Mindestpreissteigerung erreicht",H25)))</formula>
    </cfRule>
    <cfRule type="containsText" dxfId="172" priority="54" operator="containsText" text="Bagatellgrenze nicht erreicht">
      <formula>NOT(ISERROR(SEARCH("Bagatellgrenze nicht erreicht",H25)))</formula>
    </cfRule>
  </conditionalFormatting>
  <conditionalFormatting sqref="H32">
    <cfRule type="containsText" dxfId="171" priority="46" operator="containsText" text="Betroffenheitsgrad zu niedrig">
      <formula>NOT(ISERROR(SEARCH("Betroffenheitsgrad zu niedrig",H32)))</formula>
    </cfRule>
    <cfRule type="containsText" dxfId="170" priority="47" operator="containsText" text="Mindestgrad erreicht">
      <formula>NOT(ISERROR(SEARCH("Mindestgrad erreicht",H32)))</formula>
    </cfRule>
    <cfRule type="containsText" dxfId="169" priority="48" operator="containsText" text="Preissteigerung zu niedrig">
      <formula>NOT(ISERROR(SEARCH("Preissteigerung zu niedrig",H32)))</formula>
    </cfRule>
    <cfRule type="containsText" dxfId="168" priority="49" operator="containsText" text="Mindestpreissteigerung erreicht">
      <formula>NOT(ISERROR(SEARCH("Mindestpreissteigerung erreicht",H32)))</formula>
    </cfRule>
  </conditionalFormatting>
  <conditionalFormatting sqref="H32">
    <cfRule type="containsText" dxfId="167" priority="44" operator="containsText" text="Bagatellgrenze von 2.500 € nicht erreicht">
      <formula>NOT(ISERROR(SEARCH("Bagatellgrenze von 2.500 € nicht erreicht",H32)))</formula>
    </cfRule>
    <cfRule type="containsText" dxfId="166" priority="45" operator="containsText" text="Preisweitergabe, Ausschluss">
      <formula>NOT(ISERROR(SEARCH("Preisweitergabe, Ausschluss",H32)))</formula>
    </cfRule>
  </conditionalFormatting>
  <conditionalFormatting sqref="H32">
    <cfRule type="containsText" dxfId="165" priority="39" operator="containsText" text="Mindestbetroffenheitsgrad erreicht">
      <formula>NOT(ISERROR(SEARCH("Mindestbetroffenheitsgrad erreicht",H32)))</formula>
    </cfRule>
    <cfRule type="containsText" dxfId="164" priority="40" operator="containsText" text="Betroffenheitsgrad zu niedrig">
      <formula>NOT(ISERROR(SEARCH("Betroffenheitsgrad zu niedrig",H32)))</formula>
    </cfRule>
    <cfRule type="containsText" dxfId="163" priority="41" operator="containsText" text="Preissteigerung zu niedrig">
      <formula>NOT(ISERROR(SEARCH("Preissteigerung zu niedrig",H32)))</formula>
    </cfRule>
    <cfRule type="containsText" dxfId="162" priority="42" operator="containsText" text="Mindestpreissteigerung erreicht">
      <formula>NOT(ISERROR(SEARCH("Mindestpreissteigerung erreicht",H32)))</formula>
    </cfRule>
    <cfRule type="containsText" dxfId="161" priority="43" operator="containsText" text="Bagatellgrenze nicht erreicht">
      <formula>NOT(ISERROR(SEARCH("Bagatellgrenze nicht erreicht",H32)))</formula>
    </cfRule>
  </conditionalFormatting>
  <conditionalFormatting sqref="H43">
    <cfRule type="containsText" dxfId="160" priority="35" operator="containsText" text="Betroffenheitsgrad zu niedrig">
      <formula>NOT(ISERROR(SEARCH("Betroffenheitsgrad zu niedrig",H43)))</formula>
    </cfRule>
    <cfRule type="containsText" dxfId="159" priority="36" operator="containsText" text="Mindestgrad erreicht">
      <formula>NOT(ISERROR(SEARCH("Mindestgrad erreicht",H43)))</formula>
    </cfRule>
    <cfRule type="containsText" dxfId="158" priority="37" operator="containsText" text="Preissteigerung zu niedrig">
      <formula>NOT(ISERROR(SEARCH("Preissteigerung zu niedrig",H43)))</formula>
    </cfRule>
    <cfRule type="containsText" dxfId="157" priority="38" operator="containsText" text="Mindestpreissteigerung erreicht">
      <formula>NOT(ISERROR(SEARCH("Mindestpreissteigerung erreicht",H43)))</formula>
    </cfRule>
  </conditionalFormatting>
  <conditionalFormatting sqref="H43">
    <cfRule type="containsText" dxfId="156" priority="33" operator="containsText" text="Bagatellgrenze von 2.500 € nicht erreicht">
      <formula>NOT(ISERROR(SEARCH("Bagatellgrenze von 2.500 € nicht erreicht",H43)))</formula>
    </cfRule>
    <cfRule type="containsText" dxfId="155" priority="34" operator="containsText" text="Preisweitergabe, Ausschluss">
      <formula>NOT(ISERROR(SEARCH("Preisweitergabe, Ausschluss",H43)))</formula>
    </cfRule>
  </conditionalFormatting>
  <conditionalFormatting sqref="H43">
    <cfRule type="containsText" dxfId="154" priority="28" operator="containsText" text="Mindestbetroffenheitsgrad erreicht">
      <formula>NOT(ISERROR(SEARCH("Mindestbetroffenheitsgrad erreicht",H43)))</formula>
    </cfRule>
    <cfRule type="containsText" dxfId="153" priority="29" operator="containsText" text="Betroffenheitsgrad zu niedrig">
      <formula>NOT(ISERROR(SEARCH("Betroffenheitsgrad zu niedrig",H43)))</formula>
    </cfRule>
    <cfRule type="containsText" dxfId="152" priority="30" operator="containsText" text="Preissteigerung zu niedrig">
      <formula>NOT(ISERROR(SEARCH("Preissteigerung zu niedrig",H43)))</formula>
    </cfRule>
    <cfRule type="containsText" dxfId="151" priority="31" operator="containsText" text="Mindestpreissteigerung erreicht">
      <formula>NOT(ISERROR(SEARCH("Mindestpreissteigerung erreicht",H43)))</formula>
    </cfRule>
    <cfRule type="containsText" dxfId="150" priority="32" operator="containsText" text="Bagatellgrenze nicht erreicht">
      <formula>NOT(ISERROR(SEARCH("Bagatellgrenze nicht erreicht",H43)))</formula>
    </cfRule>
  </conditionalFormatting>
  <conditionalFormatting sqref="H51">
    <cfRule type="containsText" dxfId="149" priority="24" operator="containsText" text="Betroffenheitsgrad zu niedrig">
      <formula>NOT(ISERROR(SEARCH("Betroffenheitsgrad zu niedrig",H51)))</formula>
    </cfRule>
    <cfRule type="containsText" dxfId="148" priority="25" operator="containsText" text="Mindestgrad erreicht">
      <formula>NOT(ISERROR(SEARCH("Mindestgrad erreicht",H51)))</formula>
    </cfRule>
    <cfRule type="containsText" dxfId="147" priority="26" operator="containsText" text="Preissteigerung zu niedrig">
      <formula>NOT(ISERROR(SEARCH("Preissteigerung zu niedrig",H51)))</formula>
    </cfRule>
    <cfRule type="containsText" dxfId="146" priority="27" operator="containsText" text="Mindestpreissteigerung erreicht">
      <formula>NOT(ISERROR(SEARCH("Mindestpreissteigerung erreicht",H51)))</formula>
    </cfRule>
  </conditionalFormatting>
  <conditionalFormatting sqref="H51">
    <cfRule type="containsText" dxfId="145" priority="22" operator="containsText" text="Bagatellgrenze von 2.500 € nicht erreicht">
      <formula>NOT(ISERROR(SEARCH("Bagatellgrenze von 2.500 € nicht erreicht",H51)))</formula>
    </cfRule>
    <cfRule type="containsText" dxfId="144" priority="23" operator="containsText" text="Preisweitergabe, Ausschluss">
      <formula>NOT(ISERROR(SEARCH("Preisweitergabe, Ausschluss",H51)))</formula>
    </cfRule>
  </conditionalFormatting>
  <conditionalFormatting sqref="H51">
    <cfRule type="containsText" dxfId="143" priority="17" operator="containsText" text="Mindestbetroffenheitsgrad erreicht">
      <formula>NOT(ISERROR(SEARCH("Mindestbetroffenheitsgrad erreicht",H51)))</formula>
    </cfRule>
    <cfRule type="containsText" dxfId="142" priority="18" operator="containsText" text="Betroffenheitsgrad zu niedrig">
      <formula>NOT(ISERROR(SEARCH("Betroffenheitsgrad zu niedrig",H51)))</formula>
    </cfRule>
    <cfRule type="containsText" dxfId="141" priority="19" operator="containsText" text="Preissteigerung zu niedrig">
      <formula>NOT(ISERROR(SEARCH("Preissteigerung zu niedrig",H51)))</formula>
    </cfRule>
    <cfRule type="containsText" dxfId="140" priority="20" operator="containsText" text="Mindestpreissteigerung erreicht">
      <formula>NOT(ISERROR(SEARCH("Mindestpreissteigerung erreicht",H51)))</formula>
    </cfRule>
    <cfRule type="containsText" dxfId="139" priority="21" operator="containsText" text="Bagatellgrenze nicht erreicht">
      <formula>NOT(ISERROR(SEARCH("Bagatellgrenze nicht erreicht",H51)))</formula>
    </cfRule>
  </conditionalFormatting>
  <conditionalFormatting sqref="H59">
    <cfRule type="containsText" dxfId="138" priority="13" operator="containsText" text="Betroffenheitsgrad zu niedrig">
      <formula>NOT(ISERROR(SEARCH("Betroffenheitsgrad zu niedrig",H59)))</formula>
    </cfRule>
    <cfRule type="containsText" dxfId="137" priority="14" operator="containsText" text="Mindestgrad erreicht">
      <formula>NOT(ISERROR(SEARCH("Mindestgrad erreicht",H59)))</formula>
    </cfRule>
    <cfRule type="containsText" dxfId="136" priority="15" operator="containsText" text="Preissteigerung zu niedrig">
      <formula>NOT(ISERROR(SEARCH("Preissteigerung zu niedrig",H59)))</formula>
    </cfRule>
    <cfRule type="containsText" dxfId="135" priority="16" operator="containsText" text="Mindestpreissteigerung erreicht">
      <formula>NOT(ISERROR(SEARCH("Mindestpreissteigerung erreicht",H59)))</formula>
    </cfRule>
  </conditionalFormatting>
  <conditionalFormatting sqref="H59">
    <cfRule type="containsText" dxfId="134" priority="11" operator="containsText" text="Bagatellgrenze von 2.500 € nicht erreicht">
      <formula>NOT(ISERROR(SEARCH("Bagatellgrenze von 2.500 € nicht erreicht",H59)))</formula>
    </cfRule>
    <cfRule type="containsText" dxfId="133" priority="12" operator="containsText" text="Preisweitergabe, Ausschluss">
      <formula>NOT(ISERROR(SEARCH("Preisweitergabe, Ausschluss",H59)))</formula>
    </cfRule>
  </conditionalFormatting>
  <conditionalFormatting sqref="H59">
    <cfRule type="containsText" dxfId="132" priority="6" operator="containsText" text="Mindestbetroffenheitsgrad erreicht">
      <formula>NOT(ISERROR(SEARCH("Mindestbetroffenheitsgrad erreicht",H59)))</formula>
    </cfRule>
    <cfRule type="containsText" dxfId="131" priority="7" operator="containsText" text="Betroffenheitsgrad zu niedrig">
      <formula>NOT(ISERROR(SEARCH("Betroffenheitsgrad zu niedrig",H59)))</formula>
    </cfRule>
    <cfRule type="containsText" dxfId="130" priority="8" operator="containsText" text="Preissteigerung zu niedrig">
      <formula>NOT(ISERROR(SEARCH("Preissteigerung zu niedrig",H59)))</formula>
    </cfRule>
    <cfRule type="containsText" dxfId="129" priority="9" operator="containsText" text="Mindestpreissteigerung erreicht">
      <formula>NOT(ISERROR(SEARCH("Mindestpreissteigerung erreicht",H59)))</formula>
    </cfRule>
    <cfRule type="containsText" dxfId="128" priority="10" operator="containsText" text="Bagatellgrenze nicht erreicht">
      <formula>NOT(ISERROR(SEARCH("Bagatellgrenze nicht erreicht",H59)))</formula>
    </cfRule>
  </conditionalFormatting>
  <conditionalFormatting sqref="J29">
    <cfRule type="containsText" dxfId="103" priority="1" operator="containsText" text="Mindestbetroffenheitsgrad erreicht">
      <formula>NOT(ISERROR(SEARCH("Mindestbetroffenheitsgrad erreicht",J29)))</formula>
    </cfRule>
    <cfRule type="containsText" dxfId="102" priority="2" operator="containsText" text="Betroffenheitsgrad zu niedrig">
      <formula>NOT(ISERROR(SEARCH("Betroffenheitsgrad zu niedrig",J29)))</formula>
    </cfRule>
    <cfRule type="containsText" dxfId="101" priority="3" operator="containsText" text="Preissteigerung zu niedrig">
      <formula>NOT(ISERROR(SEARCH("Preissteigerung zu niedrig",J29)))</formula>
    </cfRule>
    <cfRule type="containsText" dxfId="100" priority="4" operator="containsText" text="Mindestpreissteigerung erreicht">
      <formula>NOT(ISERROR(SEARCH("Mindestpreissteigerung erreicht",J29)))</formula>
    </cfRule>
    <cfRule type="containsText" dxfId="99" priority="5" operator="containsText" text="Bagatellgrenze nicht erreicht">
      <formula>NOT(ISERROR(SEARCH("Bagatellgrenze nicht erreicht",J29)))</formula>
    </cfRule>
  </conditionalFormatting>
  <pageMargins left="0.70866141732283472" right="0.39370078740157483" top="0.74803149606299213" bottom="0.39370078740157483" header="0.31496062992125984" footer="0.31496062992125984"/>
  <pageSetup paperSize="9" scale="44" fitToHeight="0" orientation="portrait" horizontalDpi="1200" verticalDpi="1200" r:id="rId1"/>
  <headerFooter>
    <oddHeader>&amp;L&amp;"-,Fett"&amp;14Berechnungshilfe "Sächsisches Härtefallprogramm Energie für Unternehmen (Modul 2022)"&amp;R&amp;G</oddHeader>
    <oddFooter>Seite &amp;P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tabColor rgb="FFFFFF00"/>
    <pageSetUpPr fitToPage="1"/>
  </sheetPr>
  <dimension ref="A1:S109"/>
  <sheetViews>
    <sheetView showGridLines="0" zoomScaleNormal="100" workbookViewId="0">
      <selection activeCell="B10" sqref="B10"/>
    </sheetView>
  </sheetViews>
  <sheetFormatPr baseColWidth="10" defaultRowHeight="15" x14ac:dyDescent="0.25"/>
  <cols>
    <col min="1" max="1" width="76.42578125" style="2" customWidth="1"/>
    <col min="2" max="2" width="19.5703125" style="2" customWidth="1"/>
    <col min="3" max="3" width="2.42578125" style="2" customWidth="1"/>
    <col min="4" max="4" width="19.5703125" style="2" customWidth="1"/>
    <col min="5" max="5" width="2.42578125" style="2" customWidth="1"/>
    <col min="6" max="6" width="19.5703125" style="2" customWidth="1"/>
    <col min="7" max="7" width="2.42578125" style="2" customWidth="1"/>
    <col min="8" max="8" width="19.5703125" style="2" customWidth="1"/>
    <col min="9" max="9" width="2.42578125" style="2" customWidth="1"/>
    <col min="10" max="10" width="19.5703125" style="2" customWidth="1"/>
    <col min="11" max="11" width="2.42578125" style="2" customWidth="1"/>
    <col min="12" max="12" width="19.5703125" style="2" customWidth="1"/>
    <col min="13" max="13" width="2.42578125" style="2" customWidth="1"/>
    <col min="14" max="14" width="19.5703125" style="2" customWidth="1"/>
    <col min="15" max="15" width="11.42578125" style="2" customWidth="1"/>
    <col min="16" max="18" width="11.42578125" style="5" hidden="1" customWidth="1"/>
    <col min="19" max="19" width="11.42578125" style="36" hidden="1" customWidth="1"/>
    <col min="20" max="16384" width="11.42578125" style="2"/>
  </cols>
  <sheetData>
    <row r="1" spans="1:19" ht="18.75" x14ac:dyDescent="0.25">
      <c r="A1" s="13" t="s">
        <v>2155</v>
      </c>
      <c r="L1" s="23" t="str">
        <f>Stammdaten!AN1</f>
        <v>V. 1.0.2</v>
      </c>
      <c r="N1" s="3"/>
      <c r="O1" s="4"/>
      <c r="Q1" s="6"/>
      <c r="S1" s="36" t="s">
        <v>2053</v>
      </c>
    </row>
    <row r="2" spans="1:19" ht="18.75" x14ac:dyDescent="0.25">
      <c r="A2" s="13"/>
      <c r="L2" s="23"/>
      <c r="N2" s="3"/>
      <c r="O2" s="4"/>
      <c r="Q2" s="6"/>
    </row>
    <row r="3" spans="1:19" x14ac:dyDescent="0.25">
      <c r="A3" t="s">
        <v>2058</v>
      </c>
      <c r="F3" s="128" t="s">
        <v>13</v>
      </c>
      <c r="L3" s="23"/>
      <c r="N3" s="3"/>
      <c r="O3" s="4"/>
      <c r="P3" s="5">
        <f>IF(F3="Ja",1,0)</f>
        <v>0</v>
      </c>
      <c r="Q3" s="6"/>
    </row>
    <row r="4" spans="1:19" x14ac:dyDescent="0.25">
      <c r="A4" t="s">
        <v>2059</v>
      </c>
      <c r="F4" s="16"/>
      <c r="L4" s="23"/>
      <c r="N4" s="3"/>
      <c r="O4" s="4"/>
      <c r="Q4" s="6"/>
    </row>
    <row r="5" spans="1:19" x14ac:dyDescent="0.25">
      <c r="N5" s="3"/>
      <c r="O5" s="4"/>
      <c r="Q5" s="6"/>
    </row>
    <row r="6" spans="1:19" ht="18.75" x14ac:dyDescent="0.25">
      <c r="A6" s="1" t="s">
        <v>2139</v>
      </c>
      <c r="N6" s="3"/>
      <c r="O6" s="4"/>
      <c r="Q6" s="6"/>
    </row>
    <row r="7" spans="1:19" ht="6.95" customHeight="1" x14ac:dyDescent="0.25">
      <c r="N7" s="3"/>
      <c r="O7" s="4"/>
      <c r="Q7" s="6"/>
    </row>
    <row r="8" spans="1:19" x14ac:dyDescent="0.25">
      <c r="A8" s="10" t="s">
        <v>2007</v>
      </c>
      <c r="B8" s="78" t="str">
        <f>IF(P8=1,"Daten fehlen",'Stufe 1'!D7)</f>
        <v>Daten fehlen</v>
      </c>
      <c r="C8" s="19"/>
      <c r="D8" s="58" t="s">
        <v>2189</v>
      </c>
      <c r="E8" s="19"/>
      <c r="F8" s="19"/>
      <c r="G8" s="19"/>
      <c r="I8" s="19"/>
      <c r="J8" s="22"/>
      <c r="K8" s="19"/>
      <c r="L8" s="19"/>
      <c r="M8" s="19"/>
      <c r="N8" s="20"/>
      <c r="O8" s="4"/>
      <c r="P8" s="5">
        <f>IF('Stufe 1'!D7="Dateneingabe fehlt",1,0)</f>
        <v>1</v>
      </c>
      <c r="Q8" s="6"/>
      <c r="S8" s="36">
        <f>P8</f>
        <v>1</v>
      </c>
    </row>
    <row r="9" spans="1:19" ht="6.95" customHeight="1" x14ac:dyDescent="0.25">
      <c r="A9" s="10"/>
      <c r="B9" s="79"/>
      <c r="C9" s="19"/>
      <c r="D9" s="19"/>
      <c r="E9" s="19"/>
      <c r="F9" s="19"/>
      <c r="G9" s="19"/>
      <c r="H9" s="19"/>
      <c r="I9" s="19"/>
      <c r="M9" s="19"/>
      <c r="N9" s="20"/>
      <c r="O9" s="4"/>
      <c r="Q9" s="6"/>
    </row>
    <row r="10" spans="1:19" x14ac:dyDescent="0.25">
      <c r="A10" s="10" t="s">
        <v>2202</v>
      </c>
      <c r="B10" s="128" t="s">
        <v>13</v>
      </c>
      <c r="C10" s="19"/>
      <c r="D10" s="23" t="str">
        <f>IF(P10=1,"(§) Höhe:","")</f>
        <v/>
      </c>
      <c r="E10" s="19"/>
      <c r="F10" s="124"/>
      <c r="G10" s="19"/>
      <c r="H10" s="492" t="str">
        <f>IF(S10=1,"Dateneingabe unvollständig","")</f>
        <v/>
      </c>
      <c r="I10" s="492"/>
      <c r="J10" s="492"/>
      <c r="O10" s="4"/>
      <c r="P10" s="5">
        <f>IF(B10="Ja",1,0)</f>
        <v>0</v>
      </c>
      <c r="Q10" s="6">
        <f>IF(P10=1,F10,IF(P8=1,0,B8))</f>
        <v>0</v>
      </c>
      <c r="R10" s="5">
        <f>IF(P8=1,IF(P10=1,F10,0),B8)</f>
        <v>0</v>
      </c>
      <c r="S10" s="36">
        <f>IF(AND(P10=1,OR(Q10=0,B12="")),1,0)</f>
        <v>0</v>
      </c>
    </row>
    <row r="11" spans="1:19" ht="6.95" customHeight="1" x14ac:dyDescent="0.25">
      <c r="B11" s="19"/>
      <c r="C11" s="19"/>
      <c r="D11" s="19"/>
      <c r="E11" s="19"/>
      <c r="F11" s="19"/>
      <c r="G11" s="19"/>
      <c r="H11" s="19"/>
      <c r="I11" s="19"/>
      <c r="J11" s="19"/>
      <c r="K11" s="19"/>
      <c r="L11" s="19"/>
      <c r="M11" s="19"/>
      <c r="N11" s="20"/>
      <c r="O11" s="4"/>
      <c r="Q11" s="6"/>
    </row>
    <row r="12" spans="1:19" x14ac:dyDescent="0.25">
      <c r="A12" s="7" t="str">
        <f>IF(P10=1,"(§) Begründung, für die Berücksichtigung der Energieintensität 2020:","")</f>
        <v/>
      </c>
      <c r="B12" s="493"/>
      <c r="C12" s="493"/>
      <c r="D12" s="493"/>
      <c r="E12" s="493"/>
      <c r="F12" s="493"/>
      <c r="G12" s="493"/>
      <c r="H12" s="493"/>
      <c r="I12" s="493"/>
      <c r="J12" s="493"/>
      <c r="K12" s="493"/>
      <c r="L12" s="493"/>
      <c r="M12" s="7"/>
      <c r="N12" s="7"/>
      <c r="O12" s="4"/>
      <c r="Q12" s="6"/>
    </row>
    <row r="13" spans="1:19" x14ac:dyDescent="0.25">
      <c r="A13" s="7"/>
      <c r="B13" s="493"/>
      <c r="C13" s="493"/>
      <c r="D13" s="493"/>
      <c r="E13" s="493"/>
      <c r="F13" s="493"/>
      <c r="G13" s="493"/>
      <c r="H13" s="493"/>
      <c r="I13" s="493"/>
      <c r="J13" s="493"/>
      <c r="K13" s="493"/>
      <c r="L13" s="493"/>
      <c r="M13" s="7"/>
      <c r="N13" s="7"/>
      <c r="O13" s="4"/>
      <c r="Q13" s="6"/>
    </row>
    <row r="14" spans="1:19" x14ac:dyDescent="0.25">
      <c r="A14" s="7"/>
      <c r="B14" s="493"/>
      <c r="C14" s="493"/>
      <c r="D14" s="493"/>
      <c r="E14" s="493"/>
      <c r="F14" s="493"/>
      <c r="G14" s="493"/>
      <c r="H14" s="493"/>
      <c r="I14" s="493"/>
      <c r="J14" s="493"/>
      <c r="K14" s="493"/>
      <c r="L14" s="493"/>
      <c r="M14" s="7"/>
      <c r="N14" s="7"/>
      <c r="O14" s="4"/>
      <c r="Q14" s="6"/>
    </row>
    <row r="15" spans="1:19" x14ac:dyDescent="0.25">
      <c r="A15" s="7"/>
      <c r="B15" s="130"/>
      <c r="C15" s="130"/>
      <c r="D15" s="130"/>
      <c r="E15" s="130"/>
      <c r="F15" s="130"/>
      <c r="G15" s="130"/>
      <c r="H15" s="130"/>
      <c r="I15" s="130"/>
      <c r="J15" s="130"/>
      <c r="K15" s="130"/>
      <c r="L15" s="130"/>
      <c r="M15" s="7"/>
      <c r="N15" s="7"/>
      <c r="O15" s="4"/>
      <c r="Q15" s="6"/>
    </row>
    <row r="16" spans="1:19" x14ac:dyDescent="0.25">
      <c r="A16" s="7"/>
      <c r="B16" s="243" t="s">
        <v>20</v>
      </c>
      <c r="C16" s="455" t="str">
        <f>IF(OR(B8="Daten fehlen",F10="Daten fehlen"),"",IF(OR(B8&gt;=0.05,AND(P10=1,F10&gt;=0.05)),"Mindestenergieintensität erfüllt","Mindestenergieintensität nicht erfüllt"))</f>
        <v/>
      </c>
      <c r="D16" s="455"/>
      <c r="E16" s="455"/>
      <c r="F16" s="455"/>
      <c r="G16" s="213">
        <v>1</v>
      </c>
      <c r="I16" s="304" t="s">
        <v>2054</v>
      </c>
      <c r="J16" s="11"/>
      <c r="K16" s="11"/>
      <c r="L16" s="247">
        <f>Q16</f>
        <v>0</v>
      </c>
      <c r="M16" s="7"/>
      <c r="N16" s="7"/>
      <c r="O16" s="4"/>
      <c r="Q16" s="6">
        <f>MAX(Q10:R10)</f>
        <v>0</v>
      </c>
    </row>
    <row r="17" spans="1:19" ht="6.95" customHeight="1" thickBot="1" x14ac:dyDescent="0.3">
      <c r="A17" s="61"/>
      <c r="B17" s="61"/>
      <c r="C17" s="61"/>
      <c r="D17" s="61"/>
      <c r="E17" s="61"/>
      <c r="F17" s="61"/>
      <c r="G17" s="61"/>
      <c r="H17" s="61"/>
      <c r="I17" s="61"/>
      <c r="J17" s="61"/>
      <c r="K17" s="61"/>
      <c r="L17" s="61"/>
      <c r="N17" s="55"/>
      <c r="O17" s="4"/>
      <c r="Q17" s="6"/>
    </row>
    <row r="18" spans="1:19" ht="6.95" customHeight="1" x14ac:dyDescent="0.25">
      <c r="N18" s="55"/>
      <c r="O18" s="4"/>
      <c r="Q18" s="6"/>
    </row>
    <row r="19" spans="1:19" ht="18.75" x14ac:dyDescent="0.25">
      <c r="A19" s="1" t="s">
        <v>2029</v>
      </c>
      <c r="N19" s="55"/>
      <c r="O19" s="4"/>
      <c r="Q19" s="6"/>
    </row>
    <row r="20" spans="1:19" x14ac:dyDescent="0.25">
      <c r="A20" s="14"/>
      <c r="B20" s="17" t="s">
        <v>21</v>
      </c>
      <c r="C20" s="17"/>
      <c r="D20" s="17" t="s">
        <v>1987</v>
      </c>
      <c r="E20" s="17"/>
      <c r="F20" s="17" t="s">
        <v>5</v>
      </c>
      <c r="G20" s="17"/>
      <c r="H20" s="17" t="str">
        <f>IF(Kostenaufstellungen!E212="","And. Energieträger 1",Kostenaufstellungen!E212)</f>
        <v>And. Energieträger 1</v>
      </c>
      <c r="I20" s="17"/>
      <c r="J20" s="17" t="str">
        <f>IF(Kostenaufstellungen!E294="","And. Energieträger 2",Kostenaufstellungen!E294)</f>
        <v>And. Energieträger 2</v>
      </c>
      <c r="K20" s="14"/>
      <c r="L20" s="17" t="str">
        <f>IF(Kostenaufstellungen!E376="","And. Energieträger 3",Kostenaufstellungen!E376)</f>
        <v>And. Energieträger 3</v>
      </c>
      <c r="M20" s="8"/>
      <c r="N20" s="56"/>
      <c r="O20" s="4"/>
      <c r="Q20" s="6"/>
    </row>
    <row r="21" spans="1:19" x14ac:dyDescent="0.25">
      <c r="A21" s="2" t="s">
        <v>2201</v>
      </c>
      <c r="B21" s="125" t="str">
        <f>IF('Stufe 1'!F20="Dateneingabe fehlt","Daten fehlen",'Stufe 1'!F20)</f>
        <v>Daten fehlen</v>
      </c>
      <c r="C21" s="125"/>
      <c r="D21" s="125" t="str">
        <f>IF('Stufe 1'!F27="Dateneingabe fehlt","Daten fehlen",'Stufe 1'!F27)</f>
        <v>Daten fehlen</v>
      </c>
      <c r="E21" s="125"/>
      <c r="F21" s="125" t="str">
        <f>IF('Stufe 1'!F34="Dateneingabe fehlt","Daten fehlen",'Stufe 1'!F34)</f>
        <v>Daten fehlen</v>
      </c>
      <c r="G21" s="125"/>
      <c r="H21" s="125" t="str">
        <f>IF('Stufe 1'!F46="Dateneingabe fehlt","Daten fehlen",'Stufe 1'!F46)</f>
        <v>Daten fehlen</v>
      </c>
      <c r="I21" s="125"/>
      <c r="J21" s="125" t="str">
        <f>IF('Stufe 1'!F54="Dateneingabe fehlt","Daten fehlen",'Stufe 1'!F54)</f>
        <v>Daten fehlen</v>
      </c>
      <c r="K21" s="125"/>
      <c r="L21" s="126" t="str">
        <f>IF('Stufe 1'!F62="Dateneingabe fehlt","Daten fehlen",'Stufe 1'!F62)</f>
        <v>Daten fehlen</v>
      </c>
      <c r="M21" s="18"/>
      <c r="N21" s="57"/>
      <c r="O21" s="4"/>
      <c r="Q21" s="6"/>
    </row>
    <row r="22" spans="1:19" x14ac:dyDescent="0.25">
      <c r="A22" s="2" t="s">
        <v>2146</v>
      </c>
      <c r="B22" s="53" t="str">
        <f>IF(B21="Daten fehlen","Daten fehlen",IF(B21&gt;=2,"Erfüllt","Nicht erfüllt"))</f>
        <v>Daten fehlen</v>
      </c>
      <c r="C22" s="53"/>
      <c r="D22" s="53" t="str">
        <f>IF(D21="Daten fehlen","Daten fehlen",IF(D21&gt;=2,"Erfüllt","Nicht erfüllt"))</f>
        <v>Daten fehlen</v>
      </c>
      <c r="E22" s="53"/>
      <c r="F22" s="53" t="str">
        <f>IF(F21="Daten fehlen","Daten fehlen",IF(F21&gt;=2,"Erfüllt","Nicht erfüllt"))</f>
        <v>Daten fehlen</v>
      </c>
      <c r="G22" s="53"/>
      <c r="H22" s="53" t="str">
        <f>IF(H21="Daten fehlen","Daten fehlen",IF(H21&gt;=2,"Erfüllt","Nicht erfüllt"))</f>
        <v>Daten fehlen</v>
      </c>
      <c r="I22" s="53"/>
      <c r="J22" s="53" t="str">
        <f>IF(J21="Daten fehlen","Daten fehlen",IF(J21&gt;=2,"Erfüllt","Nicht erfüllt"))</f>
        <v>Daten fehlen</v>
      </c>
      <c r="K22" s="16"/>
      <c r="L22" s="53" t="str">
        <f>IF(L21="Daten fehlen","Daten fehlen",IF(L21&gt;=2,"Erfüllt","Nicht erfüllt"))</f>
        <v>Daten fehlen</v>
      </c>
      <c r="M22" s="16"/>
      <c r="N22" s="53"/>
      <c r="O22" s="4"/>
      <c r="Q22" s="6"/>
    </row>
    <row r="23" spans="1:19" ht="6.95" customHeight="1" x14ac:dyDescent="0.25">
      <c r="A23" s="10"/>
      <c r="B23" s="15"/>
      <c r="C23" s="15"/>
      <c r="D23" s="15"/>
      <c r="E23" s="15"/>
      <c r="F23" s="15"/>
      <c r="G23" s="15"/>
      <c r="H23" s="15"/>
      <c r="I23" s="15"/>
      <c r="J23" s="15"/>
      <c r="N23" s="9"/>
      <c r="O23" s="4"/>
      <c r="Q23" s="6"/>
    </row>
    <row r="24" spans="1:19" x14ac:dyDescent="0.25">
      <c r="A24" s="2" t="s">
        <v>2031</v>
      </c>
      <c r="B24" s="220" t="str">
        <f>'Stufe 1'!F19</f>
        <v>Dateneingabe fehlt</v>
      </c>
      <c r="C24" s="220"/>
      <c r="D24" s="220" t="str">
        <f>'Stufe 1'!F26</f>
        <v>Dateneingabe fehlt</v>
      </c>
      <c r="E24" s="220"/>
      <c r="F24" s="220" t="str">
        <f>'Stufe 1'!F33</f>
        <v>Dateneingabe fehlt</v>
      </c>
      <c r="G24" s="53"/>
      <c r="H24" s="267" t="str">
        <f>'Stufe 1'!F45</f>
        <v>Dateneingabe fehlt</v>
      </c>
      <c r="I24" s="267"/>
      <c r="J24" s="267" t="str">
        <f>'Stufe 1'!F53</f>
        <v>Dateneingabe fehlt</v>
      </c>
      <c r="K24" s="123"/>
      <c r="L24" s="267" t="str">
        <f>'Stufe 1'!F61</f>
        <v>Dateneingabe fehlt</v>
      </c>
      <c r="N24" s="9"/>
      <c r="O24" s="4"/>
      <c r="Q24" s="6"/>
    </row>
    <row r="25" spans="1:19" x14ac:dyDescent="0.25">
      <c r="A25" s="2" t="s">
        <v>2156</v>
      </c>
      <c r="B25" s="220"/>
      <c r="C25" s="220"/>
      <c r="D25" s="220"/>
      <c r="E25" s="220"/>
      <c r="F25" s="220"/>
      <c r="G25" s="53"/>
      <c r="H25" s="267"/>
      <c r="I25" s="267"/>
      <c r="J25" s="267"/>
      <c r="K25" s="123"/>
      <c r="L25" s="267"/>
      <c r="N25" s="9"/>
      <c r="O25" s="4"/>
      <c r="Q25" s="6"/>
    </row>
    <row r="26" spans="1:19" x14ac:dyDescent="0.25">
      <c r="A26" s="2" t="s">
        <v>2203</v>
      </c>
      <c r="B26" s="244"/>
      <c r="C26" s="235"/>
      <c r="D26" s="244"/>
      <c r="E26" s="235"/>
      <c r="F26" s="244"/>
      <c r="G26" s="75"/>
      <c r="H26" s="268"/>
      <c r="I26" s="269"/>
      <c r="J26" s="268"/>
      <c r="K26" s="270"/>
      <c r="L26" s="268"/>
      <c r="M26" s="21"/>
      <c r="N26" s="305" t="str">
        <f>IF(S26=1,"Daten fehlen","")</f>
        <v>Daten fehlen</v>
      </c>
      <c r="O26" s="4"/>
      <c r="Q26" s="6"/>
      <c r="S26" s="36">
        <f>IF(SUM(B26:L26)=0,1,0)</f>
        <v>1</v>
      </c>
    </row>
    <row r="27" spans="1:19" x14ac:dyDescent="0.25">
      <c r="B27" s="53" t="str">
        <f>IFERROR(IF(B26&gt;B24,"Bitte Eingabe prüfen",""),"")</f>
        <v/>
      </c>
      <c r="C27" s="53"/>
      <c r="D27" s="53" t="str">
        <f>IFERROR(IF(D26&gt;D24,"Bitte Eingabe prüfen",""),"")</f>
        <v/>
      </c>
      <c r="E27" s="53"/>
      <c r="F27" s="53" t="str">
        <f>IFERROR(IF(F26&gt;F24,"Bitte Eingabe prüfen",""),"")</f>
        <v/>
      </c>
      <c r="G27" s="53"/>
      <c r="H27" s="53" t="str">
        <f>IFERROR(IF(H26&gt;H24,"Bitte Eingabe prüfen",""),"")</f>
        <v/>
      </c>
      <c r="I27" s="53"/>
      <c r="J27" s="53" t="str">
        <f>IFERROR(IF(J26&gt;J24,"Bitte Eingabe prüfen",""),"")</f>
        <v/>
      </c>
      <c r="K27" s="16"/>
      <c r="L27" s="53" t="str">
        <f>IFERROR(IF(L26&gt;L24,"Bitte Eingabe prüfen",""),"")</f>
        <v/>
      </c>
      <c r="N27" s="15"/>
      <c r="O27" s="4"/>
      <c r="Q27" s="6"/>
    </row>
    <row r="28" spans="1:19" ht="6.95" customHeight="1" x14ac:dyDescent="0.25">
      <c r="B28" s="15"/>
      <c r="C28" s="15"/>
      <c r="D28" s="15"/>
      <c r="E28" s="15"/>
      <c r="F28" s="15"/>
      <c r="G28" s="15"/>
      <c r="H28" s="15"/>
      <c r="I28" s="15"/>
      <c r="J28" s="15"/>
      <c r="L28" s="15"/>
      <c r="N28" s="15"/>
      <c r="O28" s="4"/>
      <c r="Q28" s="6"/>
    </row>
    <row r="29" spans="1:19" x14ac:dyDescent="0.25">
      <c r="A29" s="2" t="s">
        <v>2233</v>
      </c>
      <c r="B29" s="131" t="str">
        <f>IF($B$26=0,"Daten fehlen",IF($B$22="Erfüllt",('Stufe 1'!$F$18)*$B$26,"Kein Ansatz"))</f>
        <v>Daten fehlen</v>
      </c>
      <c r="C29" s="273"/>
      <c r="D29" s="131" t="str">
        <f>IF($D$26=0,"Daten fehlen",IF($D$22="Erfüllt",'Stufe 1'!F25*$D$26,"Kein Ansatz"))</f>
        <v>Daten fehlen</v>
      </c>
      <c r="E29" s="273"/>
      <c r="F29" s="131" t="str">
        <f>IF($F$26=0,"Daten fehlen",IF($F$22="Erfüllt",('Stufe 1'!$F$32)*$F$26,"Kein Ansatz"))</f>
        <v>Daten fehlen</v>
      </c>
      <c r="G29" s="273"/>
      <c r="H29" s="131" t="str">
        <f>IF($H$26=0,"Daten fehlen",IF($H$22="Erfüllt",('Stufe 1'!$F$44)*$H$26,"Kein Ansatz"))</f>
        <v>Daten fehlen</v>
      </c>
      <c r="I29" s="273"/>
      <c r="J29" s="131" t="str">
        <f>IF($J$26=0,"Daten fehlen",IF($J$22="Erfüllt",('Stufe 1'!$F$52)*$J$26,"Kein Ansatz"))</f>
        <v>Daten fehlen</v>
      </c>
      <c r="K29" s="81"/>
      <c r="L29" s="131" t="str">
        <f>IF($L$26=0,"Daten fehlen",IF($L$22="Erfüllt",('Stufe 1'!$F$60)*$L$26,"Kein Ansatz"))</f>
        <v>Daten fehlen</v>
      </c>
      <c r="N29" s="54"/>
      <c r="O29" s="4"/>
      <c r="Q29" s="6"/>
    </row>
    <row r="30" spans="1:19" x14ac:dyDescent="0.25">
      <c r="A30" s="2" t="s">
        <v>2158</v>
      </c>
      <c r="B30" s="131" t="str">
        <f>IF($B$26=0,"Daten fehlen",IF($B$22="Erfüllt",('Stufe 1'!$F$18-'Stufe 1'!$D$18)*$B$26,"Kein Ansatz"))</f>
        <v>Daten fehlen</v>
      </c>
      <c r="C30" s="273"/>
      <c r="D30" s="131" t="str">
        <f>IF($D$26=0,"Daten fehlen",IF($D$22="Erfüllt",('Stufe 1'!$F$25-'Stufe 1'!$D$25)*$D$26,"Kein Ansatz"))</f>
        <v>Daten fehlen</v>
      </c>
      <c r="E30" s="273"/>
      <c r="F30" s="131" t="str">
        <f>IF($F$26=0,"Daten fehlen",IF($F$22="Erfüllt",('Stufe 1'!$F$32-'Stufe 1'!$D$32)*$F$26,"Kein Ansatz"))</f>
        <v>Daten fehlen</v>
      </c>
      <c r="G30" s="273"/>
      <c r="H30" s="131" t="str">
        <f>IF($H$26=0,"Daten fehlen",IF($H$22="Erfüllt",('Stufe 1'!$F$44-'Stufe 1'!$D$44)*$H$26,"Kein Ansatz"))</f>
        <v>Daten fehlen</v>
      </c>
      <c r="I30" s="273"/>
      <c r="J30" s="131" t="str">
        <f>IF($J$26=0,"Daten fehlen",IF($J$22="Erfüllt",('Stufe 1'!$F$52-'Stufe 1'!$D$52)*$J$26,"Kein Ansatz"))</f>
        <v>Daten fehlen</v>
      </c>
      <c r="K30" s="81"/>
      <c r="L30" s="131" t="str">
        <f>IF($L$26=0,"Daten fehlen",IF($L$22="Erfüllt",('Stufe 1'!$F$60-'Stufe 1'!$D$60)*$L$26,"Kein Ansatz"))</f>
        <v>Daten fehlen</v>
      </c>
      <c r="N30" s="54"/>
      <c r="O30" s="4"/>
      <c r="Q30" s="6"/>
    </row>
    <row r="31" spans="1:19" x14ac:dyDescent="0.25">
      <c r="A31" s="2" t="s">
        <v>2157</v>
      </c>
      <c r="B31" s="274" t="str">
        <f>IF(B30="Daten fehlen","Daten fehlen",(IF(B29="Kein Ansatz","Kein Ansatz",ROUND(B30*0.8,2))))</f>
        <v>Daten fehlen</v>
      </c>
      <c r="C31" s="81"/>
      <c r="D31" s="274" t="str">
        <f>IF(D30="Daten fehlen","Daten fehlen",(IF(D29="Kein Ansatz","Kein Ansatz",ROUND(D30*0.8,2))))</f>
        <v>Daten fehlen</v>
      </c>
      <c r="E31" s="81"/>
      <c r="F31" s="274" t="str">
        <f>IF(F30="Daten fehlen","Daten fehlen",(IF(F29="Kein Ansatz","Kein Ansatz",ROUND(F30*0.8,2))))</f>
        <v>Daten fehlen</v>
      </c>
      <c r="G31" s="81"/>
      <c r="H31" s="274" t="str">
        <f>IF(H30="Daten fehlen","Daten fehlen",(IF(H29="Kein Ansatz","Kein Ansatz",ROUND(H30*0.8,2))))</f>
        <v>Daten fehlen</v>
      </c>
      <c r="I31" s="81"/>
      <c r="J31" s="274" t="str">
        <f>IF(J30="Daten fehlen","Daten fehlen",(IF(J29="Kein Ansatz","Kein Ansatz",ROUND(J30*0.8,2))))</f>
        <v>Daten fehlen</v>
      </c>
      <c r="K31" s="81"/>
      <c r="L31" s="274" t="str">
        <f>IF(L30="Daten fehlen","Daten fehlen",(IF(L29="Kein Ansatz","Kein Ansatz",ROUND(L30*0.8,2))))</f>
        <v>Daten fehlen</v>
      </c>
      <c r="N31" s="52"/>
    </row>
    <row r="33" spans="1:19" x14ac:dyDescent="0.25">
      <c r="A33" s="2" t="s">
        <v>2004</v>
      </c>
      <c r="B33" s="274" t="str">
        <f>IF(SUM(B30:N30)=0,"Daten fehlen",SUM(B30:N30))</f>
        <v>Daten fehlen</v>
      </c>
      <c r="D33" s="217" t="s">
        <v>2198</v>
      </c>
    </row>
    <row r="34" spans="1:19" x14ac:dyDescent="0.25">
      <c r="A34" s="11" t="s">
        <v>2157</v>
      </c>
      <c r="B34" s="275" t="str">
        <f>IF(SUM(B31:N31)=0,"Daten fehlen",ROUND(SUM(B31:N31),2))</f>
        <v>Daten fehlen</v>
      </c>
      <c r="C34" s="213">
        <v>2</v>
      </c>
      <c r="D34" s="217" t="s">
        <v>2199</v>
      </c>
    </row>
    <row r="35" spans="1:19" ht="6.95" customHeight="1" thickBot="1" x14ac:dyDescent="0.3">
      <c r="A35" s="61"/>
      <c r="B35" s="61"/>
      <c r="C35" s="61"/>
      <c r="D35" s="61"/>
      <c r="E35" s="61"/>
      <c r="F35" s="61"/>
      <c r="G35" s="61"/>
      <c r="H35" s="61"/>
      <c r="I35" s="61"/>
      <c r="J35" s="61"/>
      <c r="K35" s="61"/>
      <c r="L35" s="61"/>
    </row>
    <row r="36" spans="1:19" ht="6.95" customHeight="1" x14ac:dyDescent="0.25"/>
    <row r="37" spans="1:19" ht="18.75" x14ac:dyDescent="0.25">
      <c r="A37" s="1" t="s">
        <v>2030</v>
      </c>
    </row>
    <row r="38" spans="1:19" ht="6.95" customHeight="1" x14ac:dyDescent="0.25"/>
    <row r="39" spans="1:19" x14ac:dyDescent="0.25">
      <c r="A39" s="2" t="s">
        <v>2250</v>
      </c>
      <c r="B39" s="495" t="s">
        <v>2011</v>
      </c>
      <c r="C39" s="495"/>
      <c r="D39" s="495"/>
      <c r="F39" s="10" t="str">
        <f>IF(Q39=1,"Bitte Auswahl treffen","")</f>
        <v/>
      </c>
      <c r="G39" s="10"/>
      <c r="H39" s="10"/>
      <c r="P39" s="5">
        <f>IFERROR(VLOOKUP(B39,I_SV!K11:L13,2,FALSE),0)</f>
        <v>1</v>
      </c>
      <c r="Q39" s="5">
        <f>IF(B39="",1,0)</f>
        <v>0</v>
      </c>
      <c r="S39" s="36">
        <f>Q39</f>
        <v>0</v>
      </c>
    </row>
    <row r="40" spans="1:19" ht="15" customHeight="1" x14ac:dyDescent="0.25">
      <c r="I40" s="242"/>
      <c r="J40" s="242"/>
    </row>
    <row r="41" spans="1:19" ht="45" x14ac:dyDescent="0.25">
      <c r="A41" s="14" t="s">
        <v>2195</v>
      </c>
      <c r="B41" s="63" t="s">
        <v>1996</v>
      </c>
      <c r="H41" s="242"/>
      <c r="I41" s="242"/>
      <c r="J41" s="242"/>
    </row>
    <row r="42" spans="1:19" x14ac:dyDescent="0.25">
      <c r="A42" s="2" t="str">
        <f>IFERROR(VLOOKUP(P39,I_SV!K16:L18,2,FALSE),"")</f>
        <v>(§) Anteiliges Ergebnis Steuerbilanz/Überleitungsr. o. außerbilanzielle Korrekturen</v>
      </c>
      <c r="B42" s="127"/>
      <c r="C42" s="494" t="s">
        <v>1974</v>
      </c>
      <c r="F42" s="360" t="s">
        <v>1997</v>
      </c>
      <c r="G42" s="10"/>
      <c r="H42" s="10"/>
      <c r="I42" s="242"/>
      <c r="J42" s="242"/>
    </row>
    <row r="43" spans="1:19" x14ac:dyDescent="0.25">
      <c r="A43" s="2" t="str">
        <f>IFERROR(VLOOKUP(P39,I_SV!K22:L24,2,FALSE),"")</f>
        <v xml:space="preserve"> </v>
      </c>
      <c r="B43" s="127"/>
      <c r="C43" s="494"/>
      <c r="E43" s="360"/>
      <c r="F43" s="360"/>
      <c r="G43" s="10"/>
      <c r="H43" s="10"/>
      <c r="I43" s="242"/>
      <c r="J43" s="242"/>
    </row>
    <row r="44" spans="1:19" x14ac:dyDescent="0.25">
      <c r="A44" s="2" t="str">
        <f>IFERROR(VLOOKUP(P39,I_SV!K28:L30,2,FALSE),"")</f>
        <v xml:space="preserve"> </v>
      </c>
      <c r="B44" s="127"/>
      <c r="C44" s="494"/>
      <c r="F44" s="360" t="s">
        <v>2196</v>
      </c>
      <c r="G44" s="10"/>
      <c r="H44" s="10"/>
      <c r="I44" s="242"/>
      <c r="J44" s="242"/>
    </row>
    <row r="45" spans="1:19" ht="15.75" customHeight="1" x14ac:dyDescent="0.25">
      <c r="A45" s="2" t="str">
        <f>IFERROR(VLOOKUP(P39,I_SV!K33:L35,2,FALSE),"")</f>
        <v xml:space="preserve"> </v>
      </c>
      <c r="B45" s="127"/>
      <c r="C45" s="494"/>
      <c r="D45" s="23"/>
      <c r="G45" s="10"/>
      <c r="H45" s="10"/>
      <c r="I45" s="242"/>
      <c r="J45" s="242"/>
    </row>
    <row r="46" spans="1:19" ht="15.75" customHeight="1" x14ac:dyDescent="0.25">
      <c r="A46" s="2" t="s">
        <v>2210</v>
      </c>
      <c r="B46" s="127"/>
      <c r="C46" s="494"/>
      <c r="F46" s="360" t="s">
        <v>2234</v>
      </c>
      <c r="G46" s="10"/>
      <c r="H46" s="10"/>
      <c r="P46" s="5">
        <f>IFERROR(IF(AND($P$39&lt;3,$Q$46&lt;=9,$Q$46&gt;2),1,0),0)</f>
        <v>0</v>
      </c>
      <c r="Q46" s="5" t="e">
        <f>Stammdaten!#REF!</f>
        <v>#REF!</v>
      </c>
    </row>
    <row r="47" spans="1:19" ht="15.75" customHeight="1" x14ac:dyDescent="0.25">
      <c r="A47" s="2" t="s">
        <v>2211</v>
      </c>
      <c r="B47" s="127"/>
      <c r="C47" s="494"/>
      <c r="E47" s="10"/>
      <c r="F47" s="360" t="s">
        <v>2144</v>
      </c>
      <c r="G47" s="10"/>
      <c r="H47" s="10"/>
    </row>
    <row r="48" spans="1:19" ht="15.75" customHeight="1" x14ac:dyDescent="0.25">
      <c r="A48" s="2" t="s">
        <v>2212</v>
      </c>
      <c r="B48" s="127"/>
      <c r="E48" s="10"/>
      <c r="F48" s="10"/>
      <c r="G48" s="10"/>
      <c r="H48" s="10"/>
    </row>
    <row r="49" spans="1:19" ht="15.75" customHeight="1" x14ac:dyDescent="0.25">
      <c r="A49" s="306"/>
      <c r="B49" s="127"/>
      <c r="E49" s="10"/>
      <c r="F49" s="10"/>
      <c r="G49" s="10"/>
      <c r="H49" s="10"/>
    </row>
    <row r="50" spans="1:19" x14ac:dyDescent="0.25">
      <c r="A50" s="214" t="s">
        <v>2027</v>
      </c>
      <c r="B50" s="102">
        <f>IF(Q39=1,0,SUM(B42:B49))</f>
        <v>0</v>
      </c>
      <c r="C50" s="213">
        <v>3</v>
      </c>
      <c r="D50" s="455" t="str">
        <f>IF(S50=1,"Dateneingabe fehlt","")</f>
        <v>Dateneingabe fehlt</v>
      </c>
      <c r="E50" s="455"/>
      <c r="F50" s="455"/>
      <c r="H50" s="18" t="str">
        <f>IF(B50&gt;0,"Kein Verlust","")</f>
        <v/>
      </c>
      <c r="S50" s="36">
        <f>IF(B50=0,1,0)</f>
        <v>1</v>
      </c>
    </row>
    <row r="51" spans="1:19" ht="15.75" thickBot="1" x14ac:dyDescent="0.3">
      <c r="A51" s="215" t="s">
        <v>2028</v>
      </c>
      <c r="B51" s="216"/>
    </row>
    <row r="52" spans="1:19" ht="6.95" customHeight="1" thickTop="1" thickBot="1" x14ac:dyDescent="0.3">
      <c r="A52" s="61"/>
      <c r="B52" s="61"/>
      <c r="C52" s="61"/>
      <c r="D52" s="61"/>
      <c r="E52" s="61"/>
      <c r="F52" s="61"/>
      <c r="G52" s="61"/>
      <c r="H52" s="61"/>
      <c r="I52" s="61"/>
      <c r="J52" s="61"/>
      <c r="K52" s="61"/>
      <c r="L52" s="61"/>
    </row>
    <row r="53" spans="1:19" ht="6.95" customHeight="1" x14ac:dyDescent="0.25"/>
    <row r="54" spans="1:19" ht="18.75" x14ac:dyDescent="0.25">
      <c r="A54" s="1" t="s">
        <v>2006</v>
      </c>
    </row>
    <row r="55" spans="1:19" ht="6.95" customHeight="1" x14ac:dyDescent="0.25"/>
    <row r="56" spans="1:19" x14ac:dyDescent="0.25">
      <c r="A56" s="10" t="s">
        <v>2147</v>
      </c>
      <c r="B56" s="18" t="str">
        <f>IF(OR(B34=0,B50=0,S26=1),"Daten fehlen",IF(AND(B34&gt;=(-0.5*B50),B50&lt;0),"Erfüllt","Nicht erfüllt"))</f>
        <v>Daten fehlen</v>
      </c>
      <c r="F56" s="497" t="s">
        <v>2214</v>
      </c>
      <c r="G56" s="497"/>
      <c r="H56" s="497"/>
      <c r="I56" s="497"/>
      <c r="J56" s="497"/>
      <c r="K56" s="497"/>
      <c r="L56" s="497"/>
      <c r="P56" s="5">
        <f>IF(B56="Erfüllt",1,0)</f>
        <v>0</v>
      </c>
    </row>
    <row r="57" spans="1:19" x14ac:dyDescent="0.25">
      <c r="A57" s="10"/>
      <c r="B57" s="18"/>
      <c r="F57" s="497"/>
      <c r="G57" s="497"/>
      <c r="H57" s="497"/>
      <c r="I57" s="497"/>
      <c r="J57" s="497"/>
      <c r="K57" s="497"/>
      <c r="L57" s="497"/>
    </row>
    <row r="58" spans="1:19" ht="6.95" customHeight="1" x14ac:dyDescent="0.25">
      <c r="F58" s="359"/>
      <c r="G58" s="359"/>
      <c r="H58" s="359"/>
      <c r="I58" s="359"/>
      <c r="J58" s="359"/>
      <c r="K58" s="359"/>
      <c r="L58" s="359"/>
    </row>
    <row r="59" spans="1:19" x14ac:dyDescent="0.25">
      <c r="A59" s="10" t="s">
        <v>2238</v>
      </c>
      <c r="B59" s="18" t="str">
        <f>IF(OR(B8="Daten fehlen",F10="Daten fehlen"),"Daten fehlen",IF(OR(B8&gt;=0.05,AND(P10=1,F10&gt;=0.05)),"Erfüllt","Nicht erfüllt"))</f>
        <v>Daten fehlen</v>
      </c>
      <c r="F59" s="360"/>
      <c r="G59" s="359"/>
      <c r="H59" s="359"/>
      <c r="I59" s="359"/>
      <c r="J59" s="359"/>
      <c r="K59" s="359"/>
      <c r="L59" s="359"/>
      <c r="P59" s="5">
        <f>IF(B59="Erfüllt",1,0)</f>
        <v>0</v>
      </c>
    </row>
    <row r="60" spans="1:19" ht="6.95" customHeight="1" x14ac:dyDescent="0.25">
      <c r="F60" s="359"/>
      <c r="G60" s="359"/>
      <c r="H60" s="359"/>
      <c r="I60" s="359"/>
      <c r="J60" s="359"/>
      <c r="K60" s="359"/>
      <c r="L60" s="359"/>
    </row>
    <row r="61" spans="1:19" ht="15" customHeight="1" x14ac:dyDescent="0.25">
      <c r="A61" s="496" t="s">
        <v>2213</v>
      </c>
      <c r="B61" s="128"/>
      <c r="D61" s="10" t="str">
        <f>IF(Q61=1,"Bitte Auswahl treffen","")</f>
        <v>Bitte Auswahl treffen</v>
      </c>
      <c r="E61" s="10"/>
      <c r="F61" s="497" t="s">
        <v>2235</v>
      </c>
      <c r="G61" s="497"/>
      <c r="H61" s="497"/>
      <c r="I61" s="497"/>
      <c r="J61" s="497"/>
      <c r="K61" s="497"/>
      <c r="L61" s="497"/>
      <c r="P61" s="5">
        <f>IF(B61="JA",1,0)</f>
        <v>0</v>
      </c>
      <c r="Q61" s="5">
        <f>IF(B61="",1,0)</f>
        <v>1</v>
      </c>
      <c r="S61" s="36">
        <f>Q61</f>
        <v>1</v>
      </c>
    </row>
    <row r="62" spans="1:19" x14ac:dyDescent="0.25">
      <c r="A62" s="496"/>
      <c r="D62" s="10"/>
      <c r="F62" s="497"/>
      <c r="G62" s="497"/>
      <c r="H62" s="497"/>
      <c r="I62" s="497"/>
      <c r="J62" s="497"/>
      <c r="K62" s="497"/>
      <c r="L62" s="497"/>
    </row>
    <row r="63" spans="1:19" ht="15.75" customHeight="1" x14ac:dyDescent="0.25">
      <c r="A63" s="130"/>
      <c r="D63" s="10"/>
      <c r="F63" s="497"/>
      <c r="G63" s="497"/>
      <c r="H63" s="497"/>
      <c r="I63" s="497"/>
      <c r="J63" s="497"/>
      <c r="K63" s="497"/>
      <c r="L63" s="497"/>
    </row>
    <row r="64" spans="1:19" ht="7.5" customHeight="1" x14ac:dyDescent="0.25">
      <c r="A64" s="130"/>
      <c r="D64" s="10"/>
    </row>
    <row r="65" spans="1:19" x14ac:dyDescent="0.25">
      <c r="A65" s="2" t="s">
        <v>1984</v>
      </c>
      <c r="B65" s="490" t="str">
        <f>IF(P65=1,"Genereller Leistungsausschluss (vgl. Zeilen 29 bis 41 im Tabellenblatt 'Stammdaten')","")</f>
        <v/>
      </c>
      <c r="C65" s="490"/>
      <c r="D65" s="490"/>
      <c r="E65" s="490"/>
      <c r="F65" s="490"/>
      <c r="G65" s="490"/>
      <c r="H65" s="490"/>
      <c r="P65" s="5">
        <f>IF(Stammdaten!BD43=1,0,IF(Stammdaten!BE43=1,1,0))</f>
        <v>0</v>
      </c>
    </row>
    <row r="66" spans="1:19" x14ac:dyDescent="0.25">
      <c r="B66" s="490" t="str">
        <f>IF(P66=1,"Unternehmen in Schwierigkeiten (vgl. Zeile 45 im Tabellenblatt 'Stammdaten')","")</f>
        <v/>
      </c>
      <c r="C66" s="490"/>
      <c r="D66" s="490"/>
      <c r="E66" s="490"/>
      <c r="F66" s="490"/>
      <c r="G66" s="490"/>
      <c r="H66" s="490"/>
      <c r="P66" s="5">
        <f>IF(Stammdaten!BD45=1,0,IF(Stammdaten!BE45=1,1,0))</f>
        <v>0</v>
      </c>
    </row>
    <row r="67" spans="1:19" x14ac:dyDescent="0.25">
      <c r="B67" s="490" t="str">
        <f>IF(P67=1,"Großbetrieb (vgl. Zeile 75 im Tabellenblatt 'Stammdaten')","")</f>
        <v/>
      </c>
      <c r="C67" s="490"/>
      <c r="D67" s="490"/>
      <c r="E67" s="490"/>
      <c r="F67" s="490"/>
      <c r="G67" s="490"/>
      <c r="H67" s="490"/>
      <c r="P67" s="5">
        <f>IF(Stammdaten!BF75=4,1,0)</f>
        <v>0</v>
      </c>
    </row>
    <row r="68" spans="1:19" ht="6.95" customHeight="1" x14ac:dyDescent="0.25">
      <c r="P68" s="5">
        <f>MAX(P65:P67)</f>
        <v>0</v>
      </c>
      <c r="Q68" s="2"/>
      <c r="R68" s="2"/>
      <c r="S68" s="2"/>
    </row>
    <row r="69" spans="1:19" ht="15" customHeight="1" x14ac:dyDescent="0.25">
      <c r="A69" s="11" t="s">
        <v>2001</v>
      </c>
      <c r="B69" s="74" t="str">
        <f>IF(P69=1,"Erfüllt","Nicht erfüllt")</f>
        <v>Nicht erfüllt</v>
      </c>
      <c r="C69" s="24"/>
      <c r="D69" s="24"/>
      <c r="E69" s="24"/>
      <c r="F69" s="24"/>
      <c r="G69" s="24"/>
      <c r="P69" s="5">
        <f>IF(AND(SUM(P56:P61)=3,P68=0),1,0)</f>
        <v>0</v>
      </c>
      <c r="Q69" s="2"/>
      <c r="R69" s="2"/>
      <c r="S69" s="2"/>
    </row>
    <row r="70" spans="1:19" ht="15.75" thickBot="1" x14ac:dyDescent="0.3">
      <c r="A70" s="61"/>
      <c r="B70" s="129"/>
      <c r="C70" s="129"/>
      <c r="D70" s="129"/>
      <c r="E70" s="129"/>
      <c r="F70" s="129"/>
      <c r="G70" s="129"/>
      <c r="H70" s="61"/>
      <c r="I70" s="61"/>
      <c r="J70" s="61"/>
      <c r="K70" s="61"/>
      <c r="L70" s="61"/>
      <c r="Q70" s="2"/>
      <c r="R70" s="2"/>
      <c r="S70" s="2"/>
    </row>
    <row r="72" spans="1:19" ht="18.75" x14ac:dyDescent="0.25">
      <c r="A72" s="1" t="s">
        <v>1998</v>
      </c>
      <c r="Q72" s="2"/>
      <c r="R72" s="2"/>
      <c r="S72" s="2"/>
    </row>
    <row r="74" spans="1:19" x14ac:dyDescent="0.25">
      <c r="A74" s="2" t="s">
        <v>2239</v>
      </c>
      <c r="B74" s="81">
        <f>IF(OR(P69=0,B34="Daten fehlen"),0,B34)</f>
        <v>0</v>
      </c>
      <c r="Q74" s="2"/>
      <c r="R74" s="2"/>
      <c r="S74" s="2"/>
    </row>
    <row r="75" spans="1:19" ht="6.95" customHeight="1" x14ac:dyDescent="0.25">
      <c r="B75" s="81"/>
      <c r="Q75" s="2"/>
      <c r="R75" s="2"/>
      <c r="S75" s="2"/>
    </row>
    <row r="76" spans="1:19" x14ac:dyDescent="0.25">
      <c r="A76" s="2" t="s">
        <v>2240</v>
      </c>
      <c r="B76" s="81">
        <f>IF(P69=0,0,IF(B50&lt;0,-B50,0))</f>
        <v>0</v>
      </c>
      <c r="Q76" s="2"/>
      <c r="R76" s="2"/>
      <c r="S76" s="2"/>
    </row>
    <row r="77" spans="1:19" ht="6.95" customHeight="1" x14ac:dyDescent="0.25">
      <c r="B77" s="81"/>
      <c r="Q77" s="2"/>
      <c r="R77" s="2"/>
      <c r="S77" s="2"/>
    </row>
    <row r="78" spans="1:19" x14ac:dyDescent="0.25">
      <c r="A78" s="62" t="s">
        <v>2000</v>
      </c>
      <c r="B78" s="102">
        <f>MIN(B74:B76)</f>
        <v>0</v>
      </c>
      <c r="Q78" s="2"/>
      <c r="R78" s="2"/>
      <c r="S78" s="2"/>
    </row>
    <row r="79" spans="1:19" ht="6.95" customHeight="1" x14ac:dyDescent="0.25">
      <c r="B79" s="81"/>
      <c r="Q79" s="2"/>
      <c r="R79" s="2"/>
      <c r="S79" s="2"/>
    </row>
    <row r="80" spans="1:19" x14ac:dyDescent="0.25">
      <c r="A80" s="2" t="s">
        <v>1999</v>
      </c>
      <c r="B80" s="131" t="str">
        <f>IF(P80=0,"Nicht erfüllt","Erfüllt")</f>
        <v>Nicht erfüllt</v>
      </c>
      <c r="P80" s="5">
        <f>IFERROR(IF(B78&lt;=2500,0,1),0)</f>
        <v>0</v>
      </c>
      <c r="Q80" s="2"/>
      <c r="R80" s="2"/>
      <c r="S80" s="2"/>
    </row>
    <row r="81" spans="1:19" ht="6.95" customHeight="1" x14ac:dyDescent="0.25">
      <c r="B81" s="81"/>
      <c r="Q81" s="2"/>
      <c r="R81" s="2"/>
      <c r="S81" s="2"/>
    </row>
    <row r="82" spans="1:19" ht="30.75" thickBot="1" x14ac:dyDescent="0.3">
      <c r="A82" s="137" t="s">
        <v>2200</v>
      </c>
      <c r="B82" s="98">
        <f>IF(P80=0,0,IF(P3=1,B78,0))</f>
        <v>0</v>
      </c>
      <c r="Q82" s="2"/>
      <c r="R82" s="2"/>
      <c r="S82" s="2"/>
    </row>
    <row r="83" spans="1:19" ht="15.75" thickTop="1" x14ac:dyDescent="0.25">
      <c r="B83" s="81"/>
      <c r="Q83" s="2"/>
      <c r="R83" s="2"/>
      <c r="S83" s="2"/>
    </row>
    <row r="84" spans="1:19" ht="6.95" customHeight="1" thickBot="1" x14ac:dyDescent="0.3">
      <c r="A84" s="218"/>
      <c r="B84" s="219"/>
      <c r="C84" s="218"/>
      <c r="D84" s="218"/>
      <c r="E84" s="218"/>
      <c r="F84" s="218"/>
      <c r="G84" s="218"/>
      <c r="H84" s="218"/>
      <c r="I84" s="218"/>
      <c r="J84" s="218"/>
      <c r="K84" s="218"/>
      <c r="L84" s="218"/>
    </row>
    <row r="85" spans="1:19" ht="6.95" customHeight="1" thickTop="1" x14ac:dyDescent="0.25">
      <c r="B85" s="81"/>
    </row>
    <row r="86" spans="1:19" ht="18.75" x14ac:dyDescent="0.25">
      <c r="A86" s="13" t="s">
        <v>2002</v>
      </c>
      <c r="B86" s="81"/>
    </row>
    <row r="87" spans="1:19" x14ac:dyDescent="0.25">
      <c r="B87" s="81"/>
    </row>
    <row r="88" spans="1:19" x14ac:dyDescent="0.25">
      <c r="A88" s="2" t="s">
        <v>2003</v>
      </c>
      <c r="D88" s="136" t="s">
        <v>13</v>
      </c>
      <c r="H88" s="455" t="str">
        <f>IF(Q88=1,"Vorstehende Dateneingaben unvollständig","")</f>
        <v>Vorstehende Dateneingaben unvollständig</v>
      </c>
      <c r="I88" s="455"/>
      <c r="J88" s="455"/>
      <c r="P88" s="5">
        <f>IF(D88="Ja",1,0)</f>
        <v>0</v>
      </c>
      <c r="Q88" s="5">
        <f>IF(OR(B34="Daten fehlen",S93=1),1,0)</f>
        <v>1</v>
      </c>
    </row>
    <row r="89" spans="1:19" x14ac:dyDescent="0.25">
      <c r="B89" s="81"/>
    </row>
    <row r="90" spans="1:19" x14ac:dyDescent="0.25">
      <c r="A90" s="2" t="str">
        <f>IF(P88=1,"Beantragter zusätzlicher Zuschuss zu den voraussichtlichen Leistungen der Stufe 1 und 2","")</f>
        <v/>
      </c>
      <c r="D90" s="260"/>
      <c r="H90" s="492" t="str">
        <f>IF(P90=1,"Dateneingabe unvollständig","")</f>
        <v/>
      </c>
      <c r="I90" s="492"/>
      <c r="J90" s="492"/>
      <c r="P90" s="245">
        <f>IF(AND(P88=1,OR(D90="",A94="")),1,0)</f>
        <v>0</v>
      </c>
      <c r="Q90" s="245">
        <f>IF(AND(P88=1,P90=0,P3=1),D90,0)</f>
        <v>0</v>
      </c>
      <c r="R90" s="245"/>
      <c r="S90" s="246">
        <f>P90</f>
        <v>0</v>
      </c>
    </row>
    <row r="91" spans="1:19" x14ac:dyDescent="0.25">
      <c r="A91" s="2" t="s">
        <v>2065</v>
      </c>
      <c r="D91" s="80"/>
      <c r="H91" s="159"/>
      <c r="I91" s="159"/>
      <c r="J91" s="159"/>
    </row>
    <row r="92" spans="1:19" ht="6.95" customHeight="1" x14ac:dyDescent="0.25"/>
    <row r="93" spans="1:19" x14ac:dyDescent="0.25">
      <c r="A93" s="2" t="str">
        <f>IF(P88=1,"(§) Bitte stellen Sie Ihre besondere Situation dar und gehen Sie auf etwaige Leistungsausschlüsse der Stufe 2 ein.","")</f>
        <v/>
      </c>
      <c r="S93" s="36">
        <f>IF(P3=1,MAX(S5:S90),0)</f>
        <v>0</v>
      </c>
    </row>
    <row r="94" spans="1:19" x14ac:dyDescent="0.25">
      <c r="A94" s="493"/>
      <c r="B94" s="493"/>
      <c r="C94" s="493"/>
      <c r="D94" s="493"/>
      <c r="E94" s="493"/>
      <c r="F94" s="493"/>
      <c r="G94" s="493"/>
      <c r="H94" s="493"/>
      <c r="I94" s="493"/>
      <c r="J94" s="493"/>
      <c r="K94" s="493"/>
      <c r="L94" s="493"/>
    </row>
    <row r="95" spans="1:19" x14ac:dyDescent="0.25">
      <c r="A95" s="493"/>
      <c r="B95" s="493"/>
      <c r="C95" s="493"/>
      <c r="D95" s="493"/>
      <c r="E95" s="493"/>
      <c r="F95" s="493"/>
      <c r="G95" s="493"/>
      <c r="H95" s="493"/>
      <c r="I95" s="493"/>
      <c r="J95" s="493"/>
      <c r="K95" s="493"/>
      <c r="L95" s="493"/>
    </row>
    <row r="96" spans="1:19" x14ac:dyDescent="0.25">
      <c r="A96" s="493"/>
      <c r="B96" s="493"/>
      <c r="C96" s="493"/>
      <c r="D96" s="493"/>
      <c r="E96" s="493"/>
      <c r="F96" s="493"/>
      <c r="G96" s="493"/>
      <c r="H96" s="493"/>
      <c r="I96" s="493"/>
      <c r="J96" s="493"/>
      <c r="K96" s="493"/>
      <c r="L96" s="493"/>
    </row>
    <row r="97" spans="1:19" x14ac:dyDescent="0.25">
      <c r="A97" s="493"/>
      <c r="B97" s="493"/>
      <c r="C97" s="493"/>
      <c r="D97" s="493"/>
      <c r="E97" s="493"/>
      <c r="F97" s="493"/>
      <c r="G97" s="493"/>
      <c r="H97" s="493"/>
      <c r="I97" s="493"/>
      <c r="J97" s="493"/>
      <c r="K97" s="493"/>
      <c r="L97" s="493"/>
    </row>
    <row r="98" spans="1:19" x14ac:dyDescent="0.25">
      <c r="A98" s="493"/>
      <c r="B98" s="493"/>
      <c r="C98" s="493"/>
      <c r="D98" s="493"/>
      <c r="E98" s="493"/>
      <c r="F98" s="493"/>
      <c r="G98" s="493"/>
      <c r="H98" s="493"/>
      <c r="I98" s="493"/>
      <c r="J98" s="493"/>
      <c r="K98" s="493"/>
      <c r="L98" s="493"/>
    </row>
    <row r="99" spans="1:19" x14ac:dyDescent="0.25">
      <c r="A99" s="493"/>
      <c r="B99" s="493"/>
      <c r="C99" s="493"/>
      <c r="D99" s="493"/>
      <c r="E99" s="493"/>
      <c r="F99" s="493"/>
      <c r="G99" s="493"/>
      <c r="H99" s="493"/>
      <c r="I99" s="493"/>
      <c r="J99" s="493"/>
      <c r="K99" s="493"/>
      <c r="L99" s="493"/>
    </row>
    <row r="100" spans="1:19" x14ac:dyDescent="0.25">
      <c r="A100" s="493"/>
      <c r="B100" s="493"/>
      <c r="C100" s="493"/>
      <c r="D100" s="493"/>
      <c r="E100" s="493"/>
      <c r="F100" s="493"/>
      <c r="G100" s="493"/>
      <c r="H100" s="493"/>
      <c r="I100" s="493"/>
      <c r="J100" s="493"/>
      <c r="K100" s="493"/>
      <c r="L100" s="493"/>
      <c r="P100" s="2"/>
      <c r="Q100" s="2"/>
      <c r="R100" s="2"/>
      <c r="S100" s="2"/>
    </row>
    <row r="101" spans="1:19" x14ac:dyDescent="0.25">
      <c r="A101" s="493"/>
      <c r="B101" s="493"/>
      <c r="C101" s="493"/>
      <c r="D101" s="493"/>
      <c r="E101" s="493"/>
      <c r="F101" s="493"/>
      <c r="G101" s="493"/>
      <c r="H101" s="493"/>
      <c r="I101" s="493"/>
      <c r="J101" s="493"/>
      <c r="K101" s="493"/>
      <c r="L101" s="493"/>
      <c r="P101" s="2"/>
      <c r="Q101" s="2"/>
      <c r="R101" s="2"/>
      <c r="S101" s="2"/>
    </row>
    <row r="102" spans="1:19" x14ac:dyDescent="0.25">
      <c r="A102" s="493"/>
      <c r="B102" s="493"/>
      <c r="C102" s="493"/>
      <c r="D102" s="493"/>
      <c r="E102" s="493"/>
      <c r="F102" s="493"/>
      <c r="G102" s="493"/>
      <c r="H102" s="493"/>
      <c r="I102" s="493"/>
      <c r="J102" s="493"/>
      <c r="K102" s="493"/>
      <c r="L102" s="493"/>
      <c r="P102" s="2"/>
      <c r="Q102" s="2"/>
      <c r="R102" s="2"/>
      <c r="S102" s="2"/>
    </row>
    <row r="103" spans="1:19" x14ac:dyDescent="0.25">
      <c r="A103" s="493"/>
      <c r="B103" s="493"/>
      <c r="C103" s="493"/>
      <c r="D103" s="493"/>
      <c r="E103" s="493"/>
      <c r="F103" s="493"/>
      <c r="G103" s="493"/>
      <c r="H103" s="493"/>
      <c r="I103" s="493"/>
      <c r="J103" s="493"/>
      <c r="K103" s="493"/>
      <c r="L103" s="493"/>
      <c r="P103" s="2"/>
      <c r="Q103" s="2"/>
      <c r="R103" s="2"/>
      <c r="S103" s="2"/>
    </row>
    <row r="104" spans="1:19" x14ac:dyDescent="0.25">
      <c r="A104" s="493"/>
      <c r="B104" s="493"/>
      <c r="C104" s="493"/>
      <c r="D104" s="493"/>
      <c r="E104" s="493"/>
      <c r="F104" s="493"/>
      <c r="G104" s="493"/>
      <c r="H104" s="493"/>
      <c r="I104" s="493"/>
      <c r="J104" s="493"/>
      <c r="K104" s="493"/>
      <c r="L104" s="493"/>
      <c r="P104" s="2"/>
      <c r="Q104" s="2"/>
      <c r="R104" s="2"/>
      <c r="S104" s="2"/>
    </row>
    <row r="105" spans="1:19" x14ac:dyDescent="0.25">
      <c r="A105" s="493"/>
      <c r="B105" s="493"/>
      <c r="C105" s="493"/>
      <c r="D105" s="493"/>
      <c r="E105" s="493"/>
      <c r="F105" s="493"/>
      <c r="G105" s="493"/>
      <c r="H105" s="493"/>
      <c r="I105" s="493"/>
      <c r="J105" s="493"/>
      <c r="K105" s="493"/>
      <c r="L105" s="493"/>
      <c r="P105" s="2"/>
      <c r="Q105" s="2"/>
      <c r="R105" s="2"/>
      <c r="S105" s="2"/>
    </row>
    <row r="106" spans="1:19" x14ac:dyDescent="0.25">
      <c r="A106" s="493"/>
      <c r="B106" s="493"/>
      <c r="C106" s="493"/>
      <c r="D106" s="493"/>
      <c r="E106" s="493"/>
      <c r="F106" s="493"/>
      <c r="G106" s="493"/>
      <c r="H106" s="493"/>
      <c r="I106" s="493"/>
      <c r="J106" s="493"/>
      <c r="K106" s="493"/>
      <c r="L106" s="493"/>
      <c r="P106" s="2"/>
      <c r="Q106" s="2"/>
      <c r="R106" s="2"/>
      <c r="S106" s="2"/>
    </row>
    <row r="107" spans="1:19" x14ac:dyDescent="0.25">
      <c r="A107" s="493"/>
      <c r="B107" s="493"/>
      <c r="C107" s="493"/>
      <c r="D107" s="493"/>
      <c r="E107" s="493"/>
      <c r="F107" s="493"/>
      <c r="G107" s="493"/>
      <c r="H107" s="493"/>
      <c r="I107" s="493"/>
      <c r="J107" s="493"/>
      <c r="K107" s="493"/>
      <c r="L107" s="493"/>
      <c r="P107" s="2"/>
      <c r="Q107" s="2"/>
      <c r="R107" s="2"/>
      <c r="S107" s="2"/>
    </row>
    <row r="108" spans="1:19" x14ac:dyDescent="0.25">
      <c r="A108" s="493"/>
      <c r="B108" s="493"/>
      <c r="C108" s="493"/>
      <c r="D108" s="493"/>
      <c r="E108" s="493"/>
      <c r="F108" s="493"/>
      <c r="G108" s="493"/>
      <c r="H108" s="493"/>
      <c r="I108" s="493"/>
      <c r="J108" s="493"/>
      <c r="K108" s="493"/>
      <c r="L108" s="493"/>
      <c r="P108" s="2"/>
      <c r="Q108" s="2"/>
      <c r="R108" s="2"/>
      <c r="S108" s="2"/>
    </row>
    <row r="109" spans="1:19" x14ac:dyDescent="0.25">
      <c r="A109" s="493"/>
      <c r="B109" s="493"/>
      <c r="C109" s="493"/>
      <c r="D109" s="493"/>
      <c r="E109" s="493"/>
      <c r="F109" s="493"/>
      <c r="G109" s="493"/>
      <c r="H109" s="493"/>
      <c r="I109" s="493"/>
      <c r="J109" s="493"/>
      <c r="K109" s="493"/>
      <c r="L109" s="493"/>
      <c r="P109" s="2"/>
      <c r="Q109" s="2"/>
      <c r="R109" s="2"/>
      <c r="S109" s="2"/>
    </row>
  </sheetData>
  <sheetProtection algorithmName="SHA-512" hashValue="nVVx1Oms9bDn3ykLjAp4mWtbfStAsR3ENIHH0uJ+CSk1VFFR8sFRxHDxZScgl/SkTaqZ2VGaW5OKvWGcVNcFtw==" saltValue="XbDSC9W06t5bENJ0DxQD1A==" spinCount="100000" sheet="1" selectLockedCells="1"/>
  <mergeCells count="15">
    <mergeCell ref="A94:L109"/>
    <mergeCell ref="B39:D39"/>
    <mergeCell ref="A61:A62"/>
    <mergeCell ref="B65:H65"/>
    <mergeCell ref="B66:H66"/>
    <mergeCell ref="B67:H67"/>
    <mergeCell ref="F56:L57"/>
    <mergeCell ref="F61:L63"/>
    <mergeCell ref="H10:J10"/>
    <mergeCell ref="C16:F16"/>
    <mergeCell ref="H90:J90"/>
    <mergeCell ref="D50:F50"/>
    <mergeCell ref="H88:J88"/>
    <mergeCell ref="B12:L14"/>
    <mergeCell ref="C42:C47"/>
  </mergeCells>
  <conditionalFormatting sqref="L11:N11 M9:N9 M1:N4 L5:N8 L17:N30 D62:D64 F61">
    <cfRule type="containsText" dxfId="69" priority="120" operator="containsText" text="Betroffenheitsgrad zu niedrig">
      <formula>NOT(ISERROR(SEARCH("Betroffenheitsgrad zu niedrig",D1)))</formula>
    </cfRule>
    <cfRule type="containsText" dxfId="68" priority="121" operator="containsText" text="Mindestgrad erreicht">
      <formula>NOT(ISERROR(SEARCH("Mindestgrad erreicht",D1)))</formula>
    </cfRule>
    <cfRule type="containsText" dxfId="67" priority="122" operator="containsText" text="Preissteigerung zu niedrig">
      <formula>NOT(ISERROR(SEARCH("Preissteigerung zu niedrig",D1)))</formula>
    </cfRule>
    <cfRule type="containsText" dxfId="66" priority="123" operator="containsText" text="Mindestpreissteigerung erreicht">
      <formula>NOT(ISERROR(SEARCH("Mindestpreissteigerung erreicht",D1)))</formula>
    </cfRule>
  </conditionalFormatting>
  <conditionalFormatting sqref="L11 L5:L8 L17:L30 D62:D64 F61">
    <cfRule type="containsText" dxfId="65" priority="112" operator="containsText" text="Bagatellgrenze von 2.500 € nicht erreicht">
      <formula>NOT(ISERROR(SEARCH("Bagatellgrenze von 2.500 € nicht erreicht",D5)))</formula>
    </cfRule>
    <cfRule type="containsText" dxfId="64" priority="119" operator="containsText" text="Preisweitergabe, Ausschluss">
      <formula>NOT(ISERROR(SEARCH("Preisweitergabe, Ausschluss",D5)))</formula>
    </cfRule>
  </conditionalFormatting>
  <conditionalFormatting sqref="A94">
    <cfRule type="expression" dxfId="63" priority="111">
      <formula>#REF!=1</formula>
    </cfRule>
  </conditionalFormatting>
  <conditionalFormatting sqref="B12">
    <cfRule type="expression" dxfId="62" priority="110">
      <formula>$P$10=0</formula>
    </cfRule>
  </conditionalFormatting>
  <conditionalFormatting sqref="F56">
    <cfRule type="containsText" dxfId="61" priority="106" operator="containsText" text="Betroffenheitsgrad zu niedrig">
      <formula>NOT(ISERROR(SEARCH("Betroffenheitsgrad zu niedrig",F56)))</formula>
    </cfRule>
    <cfRule type="containsText" dxfId="60" priority="107" operator="containsText" text="Mindestgrad erreicht">
      <formula>NOT(ISERROR(SEARCH("Mindestgrad erreicht",F56)))</formula>
    </cfRule>
    <cfRule type="containsText" dxfId="59" priority="108" operator="containsText" text="Preissteigerung zu niedrig">
      <formula>NOT(ISERROR(SEARCH("Preissteigerung zu niedrig",F56)))</formula>
    </cfRule>
    <cfRule type="containsText" dxfId="58" priority="109" operator="containsText" text="Mindestpreissteigerung erreicht">
      <formula>NOT(ISERROR(SEARCH("Mindestpreissteigerung erreicht",F56)))</formula>
    </cfRule>
  </conditionalFormatting>
  <conditionalFormatting sqref="F56">
    <cfRule type="containsText" dxfId="57" priority="104" operator="containsText" text="Bagatellgrenze von 2.500 € nicht erreicht">
      <formula>NOT(ISERROR(SEARCH("Bagatellgrenze von 2.500 € nicht erreicht",F56)))</formula>
    </cfRule>
    <cfRule type="containsText" dxfId="56" priority="105" operator="containsText" text="Preisweitergabe, Ausschluss">
      <formula>NOT(ISERROR(SEARCH("Preisweitergabe, Ausschluss",F56)))</formula>
    </cfRule>
  </conditionalFormatting>
  <conditionalFormatting sqref="F56 D62:D64 F61">
    <cfRule type="containsText" dxfId="55" priority="99" operator="containsText" text="Mindestbetroffenheitsgrad erreicht">
      <formula>NOT(ISERROR(SEARCH("Mindestbetroffenheitsgrad erreicht",D56)))</formula>
    </cfRule>
    <cfRule type="containsText" dxfId="54" priority="100" operator="containsText" text="Betroffenheitsgrad zu niedrig">
      <formula>NOT(ISERROR(SEARCH("Betroffenheitsgrad zu niedrig",D56)))</formula>
    </cfRule>
    <cfRule type="containsText" dxfId="53" priority="101" operator="containsText" text="Preissteigerung zu niedrig">
      <formula>NOT(ISERROR(SEARCH("Preissteigerung zu niedrig",D56)))</formula>
    </cfRule>
    <cfRule type="containsText" dxfId="52" priority="102" operator="containsText" text="Mindestpreissteigerung erreicht">
      <formula>NOT(ISERROR(SEARCH("Mindestpreissteigerung erreicht",D56)))</formula>
    </cfRule>
    <cfRule type="containsText" dxfId="51" priority="103" operator="containsText" text="Bagatellgrenze nicht erreicht">
      <formula>NOT(ISERROR(SEARCH("Bagatellgrenze nicht erreicht",D56)))</formula>
    </cfRule>
  </conditionalFormatting>
  <conditionalFormatting sqref="F59">
    <cfRule type="containsText" dxfId="50" priority="95" operator="containsText" text="Betroffenheitsgrad zu niedrig">
      <formula>NOT(ISERROR(SEARCH("Betroffenheitsgrad zu niedrig",F59)))</formula>
    </cfRule>
    <cfRule type="containsText" dxfId="49" priority="96" operator="containsText" text="Mindestgrad erreicht">
      <formula>NOT(ISERROR(SEARCH("Mindestgrad erreicht",F59)))</formula>
    </cfRule>
    <cfRule type="containsText" dxfId="48" priority="97" operator="containsText" text="Preissteigerung zu niedrig">
      <formula>NOT(ISERROR(SEARCH("Preissteigerung zu niedrig",F59)))</formula>
    </cfRule>
    <cfRule type="containsText" dxfId="47" priority="98" operator="containsText" text="Mindestpreissteigerung erreicht">
      <formula>NOT(ISERROR(SEARCH("Mindestpreissteigerung erreicht",F59)))</formula>
    </cfRule>
  </conditionalFormatting>
  <conditionalFormatting sqref="F59">
    <cfRule type="containsText" dxfId="46" priority="93" operator="containsText" text="Bagatellgrenze von 2.500 € nicht erreicht">
      <formula>NOT(ISERROR(SEARCH("Bagatellgrenze von 2.500 € nicht erreicht",F59)))</formula>
    </cfRule>
    <cfRule type="containsText" dxfId="45" priority="94" operator="containsText" text="Preisweitergabe, Ausschluss">
      <formula>NOT(ISERROR(SEARCH("Preisweitergabe, Ausschluss",F59)))</formula>
    </cfRule>
  </conditionalFormatting>
  <conditionalFormatting sqref="F59">
    <cfRule type="containsText" dxfId="44" priority="54" operator="containsText" text="Mindestbetroffenheitsgrad erreicht">
      <formula>NOT(ISERROR(SEARCH("Mindestbetroffenheitsgrad erreicht",F59)))</formula>
    </cfRule>
    <cfRule type="containsText" dxfId="43" priority="89" operator="containsText" text="Betroffenheitsgrad zu niedrig">
      <formula>NOT(ISERROR(SEARCH("Betroffenheitsgrad zu niedrig",F59)))</formula>
    </cfRule>
    <cfRule type="containsText" dxfId="42" priority="90" operator="containsText" text="Preissteigerung zu niedrig">
      <formula>NOT(ISERROR(SEARCH("Preissteigerung zu niedrig",F59)))</formula>
    </cfRule>
    <cfRule type="containsText" dxfId="41" priority="91" operator="containsText" text="Mindestpreissteigerung erreicht">
      <formula>NOT(ISERROR(SEARCH("Mindestpreissteigerung erreicht",F59)))</formula>
    </cfRule>
    <cfRule type="containsText" dxfId="40" priority="92" operator="containsText" text="Bagatellgrenze nicht erreicht">
      <formula>NOT(ISERROR(SEARCH("Bagatellgrenze nicht erreicht",F59)))</formula>
    </cfRule>
  </conditionalFormatting>
  <conditionalFormatting sqref="B29:N31">
    <cfRule type="containsText" dxfId="39" priority="51" operator="containsText" text="Kein Ansatz">
      <formula>NOT(ISERROR(SEARCH("Kein Ansatz",B29)))</formula>
    </cfRule>
  </conditionalFormatting>
  <conditionalFormatting sqref="N31 A10:C10 A50:A51 E51:L51 B50:D50 A35:L38 G33:L34 A33:E34 A11:L11 A17:L32 A12:B12 A52:L55 A56:C57 A59:C59 A64:L82 A62:E63 A61:F61 E57 A58:G58 A60:G60 I58:L60 E59:G59 A13:A16 E10:G10 L16 B16:C16 G16 I16 A40:G41 A42:C42 H41:L41 I40:L40 F42 G50:H50 I42:L49 K50:L50 E56:F56 A48:C49 A43:B47">
    <cfRule type="containsText" dxfId="38" priority="7" operator="containsText" text="Nicht erfüllt">
      <formula>NOT(ISERROR(SEARCH("Nicht erfüllt",A10)))</formula>
    </cfRule>
    <cfRule type="containsText" dxfId="37" priority="49" operator="containsText" text="Erfüllt">
      <formula>NOT(ISERROR(SEARCH("Erfüllt",A10)))</formula>
    </cfRule>
  </conditionalFormatting>
  <conditionalFormatting sqref="N31">
    <cfRule type="containsText" dxfId="36" priority="48" operator="containsText" text="Kein Ansatz">
      <formula>NOT(ISERROR(SEARCH("Kein Ansatz",N31)))</formula>
    </cfRule>
  </conditionalFormatting>
  <conditionalFormatting sqref="J31">
    <cfRule type="containsText" dxfId="35" priority="46" operator="containsText" text="Nicht erfüllt">
      <formula>NOT(ISERROR(SEARCH("Nicht erfüllt",J31)))</formula>
    </cfRule>
    <cfRule type="containsText" dxfId="34" priority="47" operator="containsText" text="Erfüllt">
      <formula>NOT(ISERROR(SEARCH("Erfüllt",J31)))</formula>
    </cfRule>
  </conditionalFormatting>
  <conditionalFormatting sqref="J31">
    <cfRule type="containsText" dxfId="33" priority="45" operator="containsText" text="Kein Ansatz">
      <formula>NOT(ISERROR(SEARCH("Kein Ansatz",J31)))</formula>
    </cfRule>
  </conditionalFormatting>
  <conditionalFormatting sqref="H31">
    <cfRule type="containsText" dxfId="32" priority="43" operator="containsText" text="Nicht erfüllt">
      <formula>NOT(ISERROR(SEARCH("Nicht erfüllt",H31)))</formula>
    </cfRule>
    <cfRule type="containsText" dxfId="31" priority="44" operator="containsText" text="Erfüllt">
      <formula>NOT(ISERROR(SEARCH("Erfüllt",H31)))</formula>
    </cfRule>
  </conditionalFormatting>
  <conditionalFormatting sqref="H31">
    <cfRule type="containsText" dxfId="30" priority="42" operator="containsText" text="Kein Ansatz">
      <formula>NOT(ISERROR(SEARCH("Kein Ansatz",H31)))</formula>
    </cfRule>
  </conditionalFormatting>
  <conditionalFormatting sqref="D31">
    <cfRule type="containsText" dxfId="29" priority="40" operator="containsText" text="Nicht erfüllt">
      <formula>NOT(ISERROR(SEARCH("Nicht erfüllt",D31)))</formula>
    </cfRule>
    <cfRule type="containsText" dxfId="28" priority="41" operator="containsText" text="Erfüllt">
      <formula>NOT(ISERROR(SEARCH("Erfüllt",D31)))</formula>
    </cfRule>
  </conditionalFormatting>
  <conditionalFormatting sqref="D31">
    <cfRule type="containsText" dxfId="27" priority="39" operator="containsText" text="Kein Ansatz">
      <formula>NOT(ISERROR(SEARCH("Kein Ansatz",D31)))</formula>
    </cfRule>
  </conditionalFormatting>
  <conditionalFormatting sqref="B31">
    <cfRule type="containsText" dxfId="26" priority="32" operator="containsText" text="Nicht erfüllt">
      <formula>NOT(ISERROR(SEARCH("Nicht erfüllt",B31)))</formula>
    </cfRule>
    <cfRule type="containsText" dxfId="25" priority="38" operator="containsText" text="Erfüllt">
      <formula>NOT(ISERROR(SEARCH("Erfüllt",B31)))</formula>
    </cfRule>
  </conditionalFormatting>
  <conditionalFormatting sqref="F31">
    <cfRule type="containsText" dxfId="24" priority="30" operator="containsText" text="Nicht erfüllt">
      <formula>NOT(ISERROR(SEARCH("Nicht erfüllt",F31)))</formula>
    </cfRule>
    <cfRule type="containsText" dxfId="23" priority="31" operator="containsText" text="Erfüllt">
      <formula>NOT(ISERROR(SEARCH("Erfüllt",F31)))</formula>
    </cfRule>
  </conditionalFormatting>
  <conditionalFormatting sqref="F31">
    <cfRule type="containsText" dxfId="22" priority="23" operator="containsText" text="Kein Ansatz">
      <formula>NOT(ISERROR(SEARCH("Kein Ansatz",F31)))</formula>
    </cfRule>
  </conditionalFormatting>
  <conditionalFormatting sqref="B65:B67">
    <cfRule type="containsText" dxfId="21" priority="18" operator="containsText" text="Mindestbetroffenheitsgrad erreicht">
      <formula>NOT(ISERROR(SEARCH("Mindestbetroffenheitsgrad erreicht",B65)))</formula>
    </cfRule>
    <cfRule type="containsText" dxfId="20" priority="19" operator="containsText" text="Betroffenheitsgrad zu niedrig">
      <formula>NOT(ISERROR(SEARCH("Betroffenheitsgrad zu niedrig",B65)))</formula>
    </cfRule>
    <cfRule type="containsText" dxfId="19" priority="20" operator="containsText" text="Preissteigerung zu niedrig">
      <formula>NOT(ISERROR(SEARCH("Preissteigerung zu niedrig",B65)))</formula>
    </cfRule>
    <cfRule type="containsText" dxfId="18" priority="21" operator="containsText" text="Mindestpreissteigerung erreicht">
      <formula>NOT(ISERROR(SEARCH("Mindestpreissteigerung erreicht",B65)))</formula>
    </cfRule>
    <cfRule type="containsText" dxfId="17" priority="22" operator="containsText" text="Bagatellgrenze nicht erreicht">
      <formula>NOT(ISERROR(SEARCH("Bagatellgrenze nicht erreicht",B65)))</formula>
    </cfRule>
  </conditionalFormatting>
  <conditionalFormatting sqref="B65:H67">
    <cfRule type="expression" dxfId="16" priority="15">
      <formula>$P$68=1</formula>
    </cfRule>
    <cfRule type="expression" dxfId="15" priority="17">
      <formula>$M$21=1</formula>
    </cfRule>
  </conditionalFormatting>
  <conditionalFormatting sqref="A90:L109">
    <cfRule type="expression" dxfId="14" priority="16">
      <formula>$P$88=0</formula>
    </cfRule>
  </conditionalFormatting>
  <conditionalFormatting sqref="A39:F39 I39:L39">
    <cfRule type="containsText" dxfId="13" priority="52" operator="containsText" text="Nicht erfüllt">
      <formula>NOT(ISERROR(SEARCH("Nicht erfüllt",A39)))</formula>
    </cfRule>
    <cfRule type="containsText" dxfId="12" priority="53" operator="containsText" text="Erfüllt">
      <formula>NOT(ISERROR(SEARCH("Erfüllt",A39)))</formula>
    </cfRule>
  </conditionalFormatting>
  <conditionalFormatting sqref="F39 D61">
    <cfRule type="cellIs" dxfId="11" priority="14" operator="equal">
      <formula>"Bitte Auswahl treffen"</formula>
    </cfRule>
  </conditionalFormatting>
  <conditionalFormatting sqref="A6">
    <cfRule type="containsText" dxfId="10" priority="12" operator="containsText" text="Nicht erfüllt">
      <formula>NOT(ISERROR(SEARCH("Nicht erfüllt",A6)))</formula>
    </cfRule>
    <cfRule type="containsText" dxfId="9" priority="13" operator="containsText" text="Erfüllt">
      <formula>NOT(ISERROR(SEARCH("Erfüllt",A6)))</formula>
    </cfRule>
  </conditionalFormatting>
  <conditionalFormatting sqref="B27:L27">
    <cfRule type="containsText" dxfId="8" priority="10" operator="containsText" text="Bitte Eingabe prüfen">
      <formula>NOT(ISERROR(SEARCH("Bitte Eingabe prüfen",B27)))</formula>
    </cfRule>
  </conditionalFormatting>
  <conditionalFormatting sqref="H10">
    <cfRule type="containsText" dxfId="7" priority="9" operator="containsText" text="Dateneingabe unvollständig">
      <formula>NOT(ISERROR(SEARCH("Dateneingabe unvollständig",H10)))</formula>
    </cfRule>
  </conditionalFormatting>
  <conditionalFormatting sqref="F10">
    <cfRule type="expression" dxfId="6" priority="124">
      <formula>$P$10=0</formula>
    </cfRule>
  </conditionalFormatting>
  <conditionalFormatting sqref="H90:H91">
    <cfRule type="containsText" dxfId="5" priority="6" operator="containsText" text="Dateneingabe unvollständig">
      <formula>NOT(ISERROR(SEARCH("Dateneingabe unvollständig",H90)))</formula>
    </cfRule>
  </conditionalFormatting>
  <conditionalFormatting sqref="D50:F50">
    <cfRule type="containsText" dxfId="4" priority="5" operator="containsText" text="Dateneingabe fehlt">
      <formula>NOT(ISERROR(SEARCH("Dateneingabe fehlt",D50)))</formula>
    </cfRule>
  </conditionalFormatting>
  <conditionalFormatting sqref="H50">
    <cfRule type="containsText" dxfId="3" priority="4" operator="containsText" text="Kein Verlust">
      <formula>NOT(ISERROR(SEARCH("Kein Verlust",H50)))</formula>
    </cfRule>
  </conditionalFormatting>
  <conditionalFormatting sqref="H88:J88">
    <cfRule type="containsText" dxfId="2" priority="3" operator="containsText" text="Vorstehende Dateneingaben unvollständig">
      <formula>NOT(ISERROR(SEARCH("Vorstehende Dateneingaben unvollständig",H88)))</formula>
    </cfRule>
  </conditionalFormatting>
  <conditionalFormatting sqref="A6:N41 A58:L60 A56:F56 A57:E57 A64:L110 A61:F61 A62:E63 A42:D42 F42:L42 A48:L55 A43:B47 F44:L44 G45:L47 F46:F47 D47:E47 D44:D46 D43:L43">
    <cfRule type="expression" dxfId="1" priority="1">
      <formula>$P$3=0</formula>
    </cfRule>
  </conditionalFormatting>
  <conditionalFormatting sqref="N26">
    <cfRule type="cellIs" dxfId="0" priority="2" operator="equal">
      <formula>"Daten fehlen"</formula>
    </cfRule>
  </conditionalFormatting>
  <dataValidations count="1">
    <dataValidation type="whole" operator="lessThanOrEqual" allowBlank="1" showInputMessage="1" showErrorMessage="1" sqref="D90">
      <formula1>500000</formula1>
    </dataValidation>
  </dataValidations>
  <pageMargins left="0.70866141732283472" right="0.70866141732283472" top="0.78740157480314965" bottom="0.78740157480314965" header="0.31496062992125984" footer="0.31496062992125984"/>
  <pageSetup paperSize="9" scale="64" fitToHeight="0" orientation="landscape" horizontalDpi="1200" verticalDpi="1200" r:id="rId1"/>
  <headerFooter>
    <oddHeader>&amp;L&amp;"-,Fett"&amp;14Berechnungshilfe "Sächsisches Härtefallprogramm Energie für Unternehmen (Modul 2022)"&amp;R&amp;G</oddHeader>
  </headerFooter>
  <rowBreaks count="1" manualBreakCount="1">
    <brk id="52"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I_SV!$A$3:$A$4</xm:f>
          </x14:formula1>
          <xm:sqref>B10 B61 D88 F3</xm:sqref>
        </x14:dataValidation>
        <x14:dataValidation type="list" allowBlank="1" showInputMessage="1" showErrorMessage="1">
          <x14:formula1>
            <xm:f>I_SV!$K$11:$K$13</xm:f>
          </x14:formula1>
          <xm:sqref>B39:D39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tabColor rgb="FFFFFF00"/>
    <pageSetUpPr fitToPage="1"/>
  </sheetPr>
  <dimension ref="A1:J47"/>
  <sheetViews>
    <sheetView showGridLines="0" zoomScaleNormal="100" workbookViewId="0">
      <selection activeCell="C26" sqref="C26"/>
    </sheetView>
  </sheetViews>
  <sheetFormatPr baseColWidth="10" defaultRowHeight="15" x14ac:dyDescent="0.25"/>
  <cols>
    <col min="1" max="1" width="75.28515625" style="2" customWidth="1"/>
    <col min="2" max="3" width="21.140625" style="2" customWidth="1"/>
    <col min="4" max="4" width="2.42578125" style="2" customWidth="1"/>
    <col min="5" max="5" width="25.140625" style="2" customWidth="1"/>
    <col min="6" max="6" width="23.7109375" style="2" customWidth="1"/>
    <col min="7" max="7" width="50.42578125" style="2" customWidth="1"/>
    <col min="8" max="9" width="11.42578125" style="5" hidden="1" customWidth="1"/>
    <col min="10" max="10" width="11.42578125" style="36" hidden="1" customWidth="1"/>
    <col min="11" max="16384" width="11.42578125" style="2"/>
  </cols>
  <sheetData>
    <row r="1" spans="1:10" ht="18.75" x14ac:dyDescent="0.25">
      <c r="A1" s="13" t="s">
        <v>2005</v>
      </c>
      <c r="G1" s="23" t="str">
        <f>Stammdaten!AN1</f>
        <v>V. 1.0.2</v>
      </c>
    </row>
    <row r="3" spans="1:10" s="10" customFormat="1" ht="27.75" customHeight="1" x14ac:dyDescent="0.25">
      <c r="A3" s="498" t="s">
        <v>2236</v>
      </c>
      <c r="B3" s="498"/>
      <c r="C3" s="498"/>
      <c r="D3" s="498"/>
      <c r="E3" s="498"/>
      <c r="F3" s="498"/>
      <c r="H3" s="261"/>
      <c r="I3" s="261"/>
      <c r="J3" s="262"/>
    </row>
    <row r="5" spans="1:10" x14ac:dyDescent="0.25">
      <c r="A5" s="2" t="s">
        <v>2215</v>
      </c>
      <c r="C5" s="81">
        <f>'Stufe 1'!J66</f>
        <v>0</v>
      </c>
      <c r="E5" s="307" t="s">
        <v>2141</v>
      </c>
      <c r="F5" s="307"/>
      <c r="G5" s="307"/>
      <c r="H5" s="5" t="e">
        <f>(C5/C15)*I18</f>
        <v>#DIV/0!</v>
      </c>
      <c r="I5" s="297"/>
    </row>
    <row r="6" spans="1:10" x14ac:dyDescent="0.25">
      <c r="A6" s="2" t="s">
        <v>2216</v>
      </c>
      <c r="C6" s="81">
        <f>'Stufe 2 und 3'!B82</f>
        <v>0</v>
      </c>
      <c r="E6" s="307"/>
      <c r="F6" s="307"/>
      <c r="G6" s="307"/>
      <c r="H6" s="5" t="e">
        <f>(H7/C15)*I18</f>
        <v>#DIV/0!</v>
      </c>
    </row>
    <row r="7" spans="1:10" x14ac:dyDescent="0.25">
      <c r="A7" s="14" t="s">
        <v>2008</v>
      </c>
      <c r="B7" s="14"/>
      <c r="C7" s="236">
        <f>IF((C6-C5)&lt;0,-C6,-C5)</f>
        <v>0</v>
      </c>
      <c r="E7" s="308" t="s">
        <v>2237</v>
      </c>
      <c r="F7" s="309" t="str">
        <f>IF(Stammdaten!$BD$118=1,"Nein","Ja")</f>
        <v>Nein</v>
      </c>
      <c r="G7" s="307"/>
      <c r="H7" s="147">
        <f>SUM(C6:C7)</f>
        <v>0</v>
      </c>
      <c r="I7" s="297"/>
      <c r="J7" s="300">
        <f>IF(Stammdaten!$BD$118=1,1,0)</f>
        <v>1</v>
      </c>
    </row>
    <row r="8" spans="1:10" x14ac:dyDescent="0.25">
      <c r="A8" s="11" t="s">
        <v>2066</v>
      </c>
      <c r="B8" s="11"/>
      <c r="C8" s="259">
        <f>SUM(C5:C7)</f>
        <v>0</v>
      </c>
      <c r="E8" s="308" t="s">
        <v>2218</v>
      </c>
      <c r="F8" s="309" t="str">
        <f>IF(Betriebsstätten!$T$82&gt;0,"Nein","Ja")</f>
        <v>Nein</v>
      </c>
      <c r="G8" s="307"/>
      <c r="H8" s="5" t="e">
        <f>C18/C8</f>
        <v>#VALUE!</v>
      </c>
      <c r="J8" s="300">
        <f>IF(Betriebsstätten!$T$82=1,1,0)</f>
        <v>1</v>
      </c>
    </row>
    <row r="9" spans="1:10" x14ac:dyDescent="0.2">
      <c r="A9" s="11"/>
      <c r="B9" s="11"/>
      <c r="C9" s="259"/>
      <c r="E9" s="310" t="s">
        <v>2219</v>
      </c>
      <c r="F9" s="311" t="str">
        <f>IF(Kostenaufstellungen!$P$456=1,"Nein","Ja")</f>
        <v>Ja</v>
      </c>
      <c r="G9" s="307"/>
      <c r="J9" s="301">
        <f>IF(Kostenaufstellungen!$P$456=1,1,0)</f>
        <v>0</v>
      </c>
    </row>
    <row r="10" spans="1:10" x14ac:dyDescent="0.2">
      <c r="A10" s="2" t="s">
        <v>2217</v>
      </c>
      <c r="C10" s="81">
        <f>'Stufe 2 und 3'!Q90</f>
        <v>0</v>
      </c>
      <c r="E10" s="310" t="s">
        <v>2220</v>
      </c>
      <c r="F10" s="311" t="str">
        <f>IF('Stufe 2 und 3'!$S$93=1,"Nein","Ja")</f>
        <v>Ja</v>
      </c>
      <c r="G10" s="368" t="s">
        <v>2166</v>
      </c>
      <c r="J10" s="301"/>
    </row>
    <row r="11" spans="1:10" x14ac:dyDescent="0.2">
      <c r="A11" s="14" t="s">
        <v>2159</v>
      </c>
      <c r="B11" s="14"/>
      <c r="C11" s="236">
        <f>IF((C10-C8)&lt;0,-C10,-C8)</f>
        <v>0</v>
      </c>
      <c r="E11" s="310" t="s">
        <v>2221</v>
      </c>
      <c r="F11" s="311" t="str">
        <f>IF(Ergebnis!$J$26=1,"Nein","Ja")</f>
        <v>Ja</v>
      </c>
      <c r="G11" s="307"/>
      <c r="J11" s="301">
        <f>IF(Ergebnis!$J$26=1,1,0)</f>
        <v>0</v>
      </c>
    </row>
    <row r="12" spans="1:10" x14ac:dyDescent="0.25">
      <c r="A12" s="11" t="s">
        <v>2067</v>
      </c>
      <c r="C12" s="259">
        <f>SUM(C10:C11)</f>
        <v>0</v>
      </c>
      <c r="E12" s="308"/>
      <c r="F12" s="308"/>
      <c r="G12" s="307"/>
      <c r="H12" s="147">
        <f>(C8+C12)</f>
        <v>0</v>
      </c>
      <c r="I12" s="5" t="e">
        <f>C15/H12</f>
        <v>#DIV/0!</v>
      </c>
      <c r="J12" s="302">
        <f>MAX(J7:J11)</f>
        <v>1</v>
      </c>
    </row>
    <row r="13" spans="1:10" x14ac:dyDescent="0.25">
      <c r="C13" s="81"/>
      <c r="E13" s="312" t="s">
        <v>2167</v>
      </c>
      <c r="F13" s="308"/>
      <c r="G13" s="307"/>
    </row>
    <row r="14" spans="1:10" x14ac:dyDescent="0.25">
      <c r="A14" s="2" t="s">
        <v>2222</v>
      </c>
      <c r="C14" s="81">
        <f>-F45</f>
        <v>0</v>
      </c>
      <c r="E14" s="312" t="s">
        <v>2143</v>
      </c>
      <c r="F14" s="308"/>
      <c r="G14" s="307"/>
    </row>
    <row r="15" spans="1:10" x14ac:dyDescent="0.25">
      <c r="A15" s="62" t="s">
        <v>2068</v>
      </c>
      <c r="B15" s="62"/>
      <c r="C15" s="102">
        <f>IF((C8+C12+C14)&lt;0,0,(C8+C12+C14))</f>
        <v>0</v>
      </c>
      <c r="D15" s="176">
        <v>1</v>
      </c>
      <c r="E15" s="299"/>
      <c r="F15" s="299"/>
    </row>
    <row r="16" spans="1:10" x14ac:dyDescent="0.25">
      <c r="C16" s="81"/>
      <c r="E16" s="299"/>
      <c r="F16" s="299"/>
    </row>
    <row r="17" spans="1:10" ht="15.75" thickBot="1" x14ac:dyDescent="0.3">
      <c r="A17" s="2" t="str">
        <f>CONCATENATE(IF(AND('Stufe 2 und 3'!P88=1,'Stufe 2 und 3'!P90=0),"Erhöhter ","Regel-"),"Höchstbetrag")</f>
        <v>Regel-Höchstbetrag</v>
      </c>
      <c r="C17" s="81">
        <f>IF(AND('Stufe 2 und 3'!P88=1,'Stufe 2 und 3'!P90=0,'Stufe 2 und 3'!P3=1),500000,100000)</f>
        <v>100000</v>
      </c>
      <c r="D17" s="176">
        <v>2</v>
      </c>
      <c r="E17" s="299"/>
      <c r="F17" s="299"/>
    </row>
    <row r="18" spans="1:10" ht="16.5" thickTop="1" thickBot="1" x14ac:dyDescent="0.3">
      <c r="A18" s="97" t="s">
        <v>2161</v>
      </c>
      <c r="B18" s="97"/>
      <c r="C18" s="374" t="str">
        <f>IF(J12=1,"Dateneingabe fehlt",MIN(C15:C17))</f>
        <v>Dateneingabe fehlt</v>
      </c>
      <c r="D18" s="375"/>
      <c r="E18" s="376" t="s">
        <v>2197</v>
      </c>
      <c r="F18" s="299"/>
      <c r="I18" s="5" t="e">
        <f>C18/C15</f>
        <v>#VALUE!</v>
      </c>
    </row>
    <row r="19" spans="1:10" ht="15.75" thickTop="1" x14ac:dyDescent="0.25"/>
    <row r="20" spans="1:10" ht="15.75" thickBot="1" x14ac:dyDescent="0.3">
      <c r="A20" s="61"/>
      <c r="B20" s="61"/>
      <c r="C20" s="61"/>
      <c r="D20" s="61"/>
      <c r="E20" s="61"/>
      <c r="F20" s="61"/>
      <c r="G20" s="61"/>
    </row>
    <row r="22" spans="1:10" ht="18.75" x14ac:dyDescent="0.25">
      <c r="A22" s="1" t="s">
        <v>2223</v>
      </c>
    </row>
    <row r="24" spans="1:10" x14ac:dyDescent="0.25">
      <c r="A24" s="435"/>
      <c r="B24" s="435"/>
      <c r="C24" s="435"/>
      <c r="D24" s="435"/>
      <c r="E24" s="435"/>
      <c r="F24" s="435"/>
    </row>
    <row r="25" spans="1:10" x14ac:dyDescent="0.25">
      <c r="A25" s="16"/>
      <c r="B25" s="16"/>
      <c r="C25" s="16"/>
      <c r="D25" s="16"/>
      <c r="E25" s="16"/>
      <c r="F25" s="16"/>
    </row>
    <row r="26" spans="1:10" x14ac:dyDescent="0.25">
      <c r="A26" s="496" t="s">
        <v>2224</v>
      </c>
      <c r="B26" s="496"/>
      <c r="C26" s="128" t="s">
        <v>13</v>
      </c>
      <c r="D26" s="16"/>
      <c r="E26" s="455" t="str">
        <f>IF(J26=1,"Bitte Auswahl treffen","")</f>
        <v/>
      </c>
      <c r="F26" s="455"/>
      <c r="H26" s="5">
        <f>IF(C26="Ja",1,0)</f>
        <v>0</v>
      </c>
      <c r="J26" s="36">
        <f>IF(C26="",1,0)</f>
        <v>0</v>
      </c>
    </row>
    <row r="27" spans="1:10" ht="15.75" thickBot="1" x14ac:dyDescent="0.3">
      <c r="A27" s="496"/>
      <c r="B27" s="496"/>
    </row>
    <row r="28" spans="1:10" ht="33.75" customHeight="1" thickTop="1" x14ac:dyDescent="0.25">
      <c r="F28" s="255" t="s">
        <v>2060</v>
      </c>
    </row>
    <row r="29" spans="1:10" ht="78" customHeight="1" x14ac:dyDescent="0.25">
      <c r="A29" s="103" t="s">
        <v>2228</v>
      </c>
      <c r="B29" s="249" t="s">
        <v>2227</v>
      </c>
      <c r="C29" s="361" t="s">
        <v>2229</v>
      </c>
      <c r="D29" s="501" t="s">
        <v>2226</v>
      </c>
      <c r="E29" s="502"/>
      <c r="F29" s="363" t="s">
        <v>2225</v>
      </c>
      <c r="G29" s="8"/>
    </row>
    <row r="30" spans="1:10" x14ac:dyDescent="0.25">
      <c r="A30" s="250" t="s">
        <v>2162</v>
      </c>
      <c r="B30" s="107"/>
      <c r="C30" s="251"/>
      <c r="D30" s="499"/>
      <c r="E30" s="500"/>
      <c r="F30" s="256"/>
    </row>
    <row r="31" spans="1:10" x14ac:dyDescent="0.25">
      <c r="A31" s="250" t="s">
        <v>2010</v>
      </c>
      <c r="B31" s="107"/>
      <c r="C31" s="251"/>
      <c r="D31" s="499"/>
      <c r="E31" s="500"/>
      <c r="F31" s="256"/>
    </row>
    <row r="32" spans="1:10" x14ac:dyDescent="0.25">
      <c r="A32" s="250" t="s">
        <v>2009</v>
      </c>
      <c r="B32" s="107"/>
      <c r="C32" s="251"/>
      <c r="D32" s="499"/>
      <c r="E32" s="500"/>
      <c r="F32" s="256"/>
    </row>
    <row r="33" spans="1:6" s="2" customFormat="1" x14ac:dyDescent="0.25">
      <c r="A33" s="250" t="s">
        <v>2160</v>
      </c>
      <c r="B33" s="362"/>
      <c r="C33" s="107"/>
      <c r="D33" s="499"/>
      <c r="E33" s="500"/>
      <c r="F33" s="256"/>
    </row>
    <row r="34" spans="1:6" s="2" customFormat="1" x14ac:dyDescent="0.25">
      <c r="A34" s="250"/>
      <c r="B34" s="107"/>
      <c r="C34" s="107"/>
      <c r="D34" s="499"/>
      <c r="E34" s="500"/>
      <c r="F34" s="256"/>
    </row>
    <row r="35" spans="1:6" s="2" customFormat="1" x14ac:dyDescent="0.25">
      <c r="A35" s="250"/>
      <c r="B35" s="107"/>
      <c r="C35" s="107"/>
      <c r="D35" s="499"/>
      <c r="E35" s="500"/>
      <c r="F35" s="256"/>
    </row>
    <row r="36" spans="1:6" s="2" customFormat="1" x14ac:dyDescent="0.25">
      <c r="A36" s="250"/>
      <c r="B36" s="107"/>
      <c r="C36" s="107"/>
      <c r="D36" s="499"/>
      <c r="E36" s="500"/>
      <c r="F36" s="256"/>
    </row>
    <row r="37" spans="1:6" s="2" customFormat="1" x14ac:dyDescent="0.25">
      <c r="A37" s="250"/>
      <c r="B37" s="107"/>
      <c r="C37" s="107"/>
      <c r="D37" s="499"/>
      <c r="E37" s="500"/>
      <c r="F37" s="256"/>
    </row>
    <row r="38" spans="1:6" s="2" customFormat="1" x14ac:dyDescent="0.25">
      <c r="A38" s="250"/>
      <c r="B38" s="107"/>
      <c r="C38" s="107"/>
      <c r="D38" s="499"/>
      <c r="E38" s="500"/>
      <c r="F38" s="256"/>
    </row>
    <row r="39" spans="1:6" s="2" customFormat="1" x14ac:dyDescent="0.25">
      <c r="A39" s="250"/>
      <c r="B39" s="107"/>
      <c r="C39" s="107"/>
      <c r="D39" s="499"/>
      <c r="E39" s="500"/>
      <c r="F39" s="256"/>
    </row>
    <row r="40" spans="1:6" s="2" customFormat="1" x14ac:dyDescent="0.25">
      <c r="A40" s="250"/>
      <c r="B40" s="107"/>
      <c r="C40" s="107"/>
      <c r="D40" s="499"/>
      <c r="E40" s="500"/>
      <c r="F40" s="256"/>
    </row>
    <row r="41" spans="1:6" s="2" customFormat="1" x14ac:dyDescent="0.25">
      <c r="A41" s="250"/>
      <c r="B41" s="107"/>
      <c r="C41" s="107"/>
      <c r="D41" s="499"/>
      <c r="E41" s="500"/>
      <c r="F41" s="256"/>
    </row>
    <row r="42" spans="1:6" s="2" customFormat="1" x14ac:dyDescent="0.25">
      <c r="A42" s="250"/>
      <c r="B42" s="107"/>
      <c r="C42" s="107"/>
      <c r="D42" s="499"/>
      <c r="E42" s="500"/>
      <c r="F42" s="256"/>
    </row>
    <row r="43" spans="1:6" s="2" customFormat="1" x14ac:dyDescent="0.25">
      <c r="A43" s="250"/>
      <c r="B43" s="107"/>
      <c r="C43" s="107"/>
      <c r="D43" s="499"/>
      <c r="E43" s="500"/>
      <c r="F43" s="256"/>
    </row>
    <row r="44" spans="1:6" s="2" customFormat="1" x14ac:dyDescent="0.25">
      <c r="A44" s="250"/>
      <c r="B44" s="107"/>
      <c r="C44" s="107"/>
      <c r="D44" s="499"/>
      <c r="E44" s="500"/>
      <c r="F44" s="256"/>
    </row>
    <row r="45" spans="1:6" s="2" customFormat="1" ht="16.5" thickBot="1" x14ac:dyDescent="0.3">
      <c r="A45" s="99" t="s">
        <v>1913</v>
      </c>
      <c r="B45" s="253">
        <f>SUM(B30:B44)</f>
        <v>0</v>
      </c>
      <c r="C45" s="253">
        <f>SUM(C30:C44)</f>
        <v>0</v>
      </c>
      <c r="D45" s="252"/>
      <c r="E45" s="252"/>
      <c r="F45" s="254">
        <f>SUM(F30:F44)</f>
        <v>0</v>
      </c>
    </row>
    <row r="46" spans="1:6" s="2" customFormat="1" ht="15.75" thickTop="1" x14ac:dyDescent="0.25">
      <c r="B46" s="81"/>
      <c r="C46" s="81"/>
    </row>
    <row r="47" spans="1:6" s="2" customFormat="1" x14ac:dyDescent="0.25">
      <c r="B47" s="81"/>
      <c r="C47" s="81"/>
    </row>
  </sheetData>
  <sheetProtection algorithmName="SHA-512" hashValue="Z5MI5r9XFbfcJ7DHH0NhJsISwrYy2tt2aTINLoKS1J12iNevfAi+TOPRiJKQkKlkfrsMkyO/t5Ed6YFUaH40YQ==" saltValue="Qrb5KUXp3qSuF90DaxDdpw==" spinCount="100000" sheet="1" selectLockedCells="1"/>
  <mergeCells count="20">
    <mergeCell ref="D31:E31"/>
    <mergeCell ref="D32:E32"/>
    <mergeCell ref="D33:E33"/>
    <mergeCell ref="D34:E34"/>
    <mergeCell ref="A3:F3"/>
    <mergeCell ref="D41:E41"/>
    <mergeCell ref="D42:E42"/>
    <mergeCell ref="D43:E43"/>
    <mergeCell ref="D44:E44"/>
    <mergeCell ref="A24:F24"/>
    <mergeCell ref="A26:B27"/>
    <mergeCell ref="E26:F26"/>
    <mergeCell ref="D35:E35"/>
    <mergeCell ref="D36:E36"/>
    <mergeCell ref="D37:E37"/>
    <mergeCell ref="D38:E38"/>
    <mergeCell ref="D39:E39"/>
    <mergeCell ref="D40:E40"/>
    <mergeCell ref="D29:E29"/>
    <mergeCell ref="D30:E30"/>
  </mergeCells>
  <conditionalFormatting sqref="B1:B2 B29:D44 G29:G44 D1 G1 B28:F28 C27:F27 B46:F1048576 D45:F45 C2:F2 B4:F4 H5:I6 D8:D9 H8:I9 B17:D17 F17 I17:I18 B7:D7 B18:F23 C5:D6 E5 B15:F16 B10:D14 E12:F14">
    <cfRule type="containsText" dxfId="127" priority="102" operator="containsText" text="Nicht erfüllt">
      <formula>NOT(ISERROR(SEARCH("Nicht erfüllt",B1)))</formula>
    </cfRule>
    <cfRule type="containsText" dxfId="126" priority="103" operator="containsText" text="Erfüllt">
      <formula>NOT(ISERROR(SEARCH("Erfüllt",B1)))</formula>
    </cfRule>
  </conditionalFormatting>
  <conditionalFormatting sqref="E26:F26">
    <cfRule type="containsText" dxfId="125" priority="15" operator="containsText" text="Bitte Auswahl treffen">
      <formula>NOT(ISERROR(SEARCH("Bitte Auswahl treffen",E26)))</formula>
    </cfRule>
  </conditionalFormatting>
  <conditionalFormatting sqref="F29:F44">
    <cfRule type="containsText" dxfId="124" priority="13" operator="containsText" text="Nicht erfüllt">
      <formula>NOT(ISERROR(SEARCH("Nicht erfüllt",F29)))</formula>
    </cfRule>
    <cfRule type="containsText" dxfId="123" priority="14" operator="containsText" text="Erfüllt">
      <formula>NOT(ISERROR(SEARCH("Erfüllt",F29)))</formula>
    </cfRule>
  </conditionalFormatting>
  <conditionalFormatting sqref="A28:G46">
    <cfRule type="expression" dxfId="122" priority="12">
      <formula>$H$26=0</formula>
    </cfRule>
  </conditionalFormatting>
  <conditionalFormatting sqref="F7:F8">
    <cfRule type="containsText" dxfId="121" priority="10" operator="containsText" text="Ja">
      <formula>NOT(ISERROR(SEARCH("Ja",F7)))</formula>
    </cfRule>
    <cfRule type="containsText" dxfId="120" priority="11" operator="containsText" text="Nein">
      <formula>NOT(ISERROR(SEARCH("Nein",F7)))</formula>
    </cfRule>
  </conditionalFormatting>
  <conditionalFormatting sqref="F9:F11">
    <cfRule type="containsText" dxfId="119" priority="6" operator="containsText" text="Ja">
      <formula>NOT(ISERROR(SEARCH("Ja",F9)))</formula>
    </cfRule>
    <cfRule type="containsText" dxfId="118" priority="7" operator="containsText" text="Nein">
      <formula>NOT(ISERROR(SEARCH("Nein",F9)))</formula>
    </cfRule>
  </conditionalFormatting>
  <conditionalFormatting sqref="C18">
    <cfRule type="containsText" dxfId="117" priority="1" operator="containsText" text="Dateneingabe fehlt">
      <formula>NOT(ISERROR(SEARCH("Dateneingabe fehlt",C18)))</formula>
    </cfRule>
  </conditionalFormatting>
  <dataValidations count="1">
    <dataValidation type="whole" operator="greaterThanOrEqual" allowBlank="1" showInputMessage="1" showErrorMessage="1" sqref="F30:F44">
      <formula1>0</formula1>
    </dataValidation>
  </dataValidations>
  <pageMargins left="0.70866141732283472" right="0.70866141732283472" top="0.78740157480314965" bottom="0.78740157480314965" header="0.31496062992125984" footer="0.31496062992125984"/>
  <pageSetup paperSize="9" scale="60" fitToHeight="0" orientation="landscape" horizontalDpi="1200" verticalDpi="1200" r:id="rId1"/>
  <headerFooter>
    <oddHeader>&amp;L&amp;"-,Fett"&amp;14Berechnungshilfe "Sächsisches Härtefallprogramm Energie für Unternehmen (Modul 2022)"&amp;R&amp;G</oddHeader>
    <oddFooter>Seite &amp;P von &amp;N</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I_SV!$A$3:$A$4</xm:f>
          </x14:formula1>
          <xm:sqref>C26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121"/>
  <sheetViews>
    <sheetView showGridLines="0" zoomScaleNormal="100" workbookViewId="0">
      <selection activeCell="G12" sqref="G12"/>
    </sheetView>
  </sheetViews>
  <sheetFormatPr baseColWidth="10" defaultRowHeight="15" x14ac:dyDescent="0.25"/>
  <cols>
    <col min="1" max="1" width="31.5703125" customWidth="1"/>
    <col min="2" max="7" width="22.5703125" customWidth="1"/>
    <col min="8" max="8" width="3.42578125" customWidth="1"/>
    <col min="9" max="9" width="22.5703125" customWidth="1"/>
  </cols>
  <sheetData>
    <row r="1" spans="1:8" ht="21" x14ac:dyDescent="0.35">
      <c r="A1" s="381" t="s">
        <v>2259</v>
      </c>
      <c r="D1" s="313"/>
      <c r="H1" t="str">
        <f>Stammdaten!AN1</f>
        <v>V. 1.0.2</v>
      </c>
    </row>
    <row r="3" spans="1:8" ht="15.75" x14ac:dyDescent="0.25">
      <c r="A3" s="229" t="s">
        <v>2040</v>
      </c>
    </row>
    <row r="4" spans="1:8" x14ac:dyDescent="0.25">
      <c r="A4" t="s">
        <v>2043</v>
      </c>
      <c r="B4" s="93" t="str">
        <f>IF(Stammdaten!$BD$118=1,"Nein","Ja")</f>
        <v>Nein</v>
      </c>
    </row>
    <row r="5" spans="1:8" x14ac:dyDescent="0.25">
      <c r="A5" t="s">
        <v>2044</v>
      </c>
      <c r="B5" s="93" t="str">
        <f>IF(Betriebsstätten!$T$82=1,"Nein","Ja")</f>
        <v>Nein</v>
      </c>
    </row>
    <row r="6" spans="1:8" x14ac:dyDescent="0.25">
      <c r="A6" t="s">
        <v>2045</v>
      </c>
      <c r="B6" s="93" t="str">
        <f>IF(Kostenaufstellungen!$P$456=1,"Nein","Ja")</f>
        <v>Ja</v>
      </c>
      <c r="C6" s="239" t="s">
        <v>2052</v>
      </c>
      <c r="D6" s="93" t="str">
        <f>IF(Kostenaufstellungen!Q456=0,"Nein","Ja")</f>
        <v>Nein</v>
      </c>
    </row>
    <row r="7" spans="1:8" x14ac:dyDescent="0.25">
      <c r="A7" t="s">
        <v>2046</v>
      </c>
      <c r="B7" s="93" t="str">
        <f>IF('Stufe 2 und 3'!$S$93=1,"Nein","Ja")</f>
        <v>Ja</v>
      </c>
      <c r="C7" s="239" t="s">
        <v>2057</v>
      </c>
      <c r="D7" s="93" t="str">
        <f>IF('Stufe 2 und 3'!P3=0,"Nein","Ja")</f>
        <v>Nein</v>
      </c>
      <c r="E7" s="239" t="s">
        <v>2055</v>
      </c>
      <c r="F7" s="93" t="str">
        <f>IF('Stufe 2 und 3'!P88=0,"Nein","Ja")</f>
        <v>Nein</v>
      </c>
    </row>
    <row r="8" spans="1:8" x14ac:dyDescent="0.25">
      <c r="A8" t="s">
        <v>2056</v>
      </c>
      <c r="B8" s="93" t="str">
        <f>IF(Ergebnis!$J$26=1,"Nein","Ja")</f>
        <v>Ja</v>
      </c>
    </row>
    <row r="10" spans="1:8" ht="15.75" x14ac:dyDescent="0.25">
      <c r="A10" s="229" t="s">
        <v>2255</v>
      </c>
    </row>
    <row r="11" spans="1:8" x14ac:dyDescent="0.25">
      <c r="A11" t="s">
        <v>2252</v>
      </c>
      <c r="D11" s="290" t="str">
        <f>IF('Stufe 2 und 3'!B33="Daten fehlen","",'Stufe 2 und 3'!B33)</f>
        <v/>
      </c>
      <c r="E11" s="380" t="s">
        <v>2256</v>
      </c>
    </row>
    <row r="12" spans="1:8" x14ac:dyDescent="0.25">
      <c r="A12" s="232" t="s">
        <v>2253</v>
      </c>
      <c r="B12" s="232"/>
      <c r="C12" s="232"/>
      <c r="D12" s="290" t="str">
        <f>IFERROR(-Ergebnis!C18,"")</f>
        <v/>
      </c>
      <c r="E12" s="387" t="s">
        <v>2254</v>
      </c>
      <c r="F12" s="232"/>
    </row>
    <row r="13" spans="1:8" x14ac:dyDescent="0.25">
      <c r="A13" s="382" t="s">
        <v>2075</v>
      </c>
      <c r="D13" s="390" t="str">
        <f>IFERROR(D11+D12,"")</f>
        <v/>
      </c>
    </row>
    <row r="14" spans="1:8" ht="6.95" customHeight="1" x14ac:dyDescent="0.25">
      <c r="D14" s="290"/>
    </row>
    <row r="15" spans="1:8" x14ac:dyDescent="0.25">
      <c r="A15" s="232" t="s">
        <v>2257</v>
      </c>
      <c r="B15" s="232"/>
      <c r="C15" s="232"/>
      <c r="D15" s="391" t="str">
        <f>IF((Stammdaten!AE85+Stammdaten!AE87)=0,"",-Stammdaten!AE85+Stammdaten!AE87)</f>
        <v/>
      </c>
      <c r="E15" s="232"/>
      <c r="F15" s="232"/>
    </row>
    <row r="16" spans="1:8" x14ac:dyDescent="0.25">
      <c r="A16" s="392" t="s">
        <v>2272</v>
      </c>
      <c r="D16" s="290" t="str">
        <f>IFERROR(D13+D15,"")</f>
        <v/>
      </c>
    </row>
    <row r="17" spans="1:9" ht="6.75" customHeight="1" x14ac:dyDescent="0.25">
      <c r="D17" s="290"/>
    </row>
    <row r="18" spans="1:9" x14ac:dyDescent="0.25">
      <c r="A18" t="s">
        <v>2258</v>
      </c>
      <c r="C18" s="93" t="str">
        <f>IFERROR(IF(D16&gt;D17,"Ja","Nein"),"")</f>
        <v>Nein</v>
      </c>
      <c r="D18" s="290" t="str">
        <f>IFERROR(D11*0.05,"")</f>
        <v/>
      </c>
      <c r="E18" t="s">
        <v>2273</v>
      </c>
    </row>
    <row r="19" spans="1:9" x14ac:dyDescent="0.25">
      <c r="D19" s="393"/>
      <c r="E19" s="393"/>
      <c r="F19" s="393"/>
    </row>
    <row r="20" spans="1:9" ht="15.75" x14ac:dyDescent="0.25">
      <c r="A20" s="229" t="s">
        <v>2265</v>
      </c>
    </row>
    <row r="21" spans="1:9" x14ac:dyDescent="0.25">
      <c r="B21" s="289"/>
      <c r="C21" s="290"/>
      <c r="D21" s="294" t="s">
        <v>2138</v>
      </c>
      <c r="I21" s="272"/>
    </row>
    <row r="22" spans="1:9" x14ac:dyDescent="0.25">
      <c r="B22" s="294"/>
      <c r="C22" s="290"/>
      <c r="D22" t="s">
        <v>1919</v>
      </c>
      <c r="E22" s="291" t="str">
        <f>IF(Kostenaufstellungen!G212=0,"",Kostenaufstellungen!G212)</f>
        <v/>
      </c>
      <c r="F22" s="291" t="str">
        <f>IF(Kostenaufstellungen!G294=0,"",Kostenaufstellungen!G294)</f>
        <v/>
      </c>
      <c r="G22" s="291" t="str">
        <f>IF(Kostenaufstellungen!G376=0,"",Kostenaufstellungen!G376)</f>
        <v/>
      </c>
      <c r="I22" s="272"/>
    </row>
    <row r="23" spans="1:9" x14ac:dyDescent="0.25">
      <c r="A23" s="294"/>
      <c r="B23" s="294"/>
      <c r="C23" s="290"/>
      <c r="D23" s="290" t="s">
        <v>2261</v>
      </c>
      <c r="E23" s="295" t="str">
        <f>Kostenaufstellungen!F240</f>
        <v>Dateneingabe fehlt</v>
      </c>
      <c r="F23" s="295" t="str">
        <f>Kostenaufstellungen!F322</f>
        <v>Dateneingabe fehlt</v>
      </c>
      <c r="G23" s="295" t="str">
        <f>Kostenaufstellungen!F404</f>
        <v>Dateneingabe fehlt</v>
      </c>
      <c r="I23" s="386"/>
    </row>
    <row r="24" spans="1:9" x14ac:dyDescent="0.25">
      <c r="A24" s="294"/>
      <c r="B24" s="294"/>
      <c r="C24" s="290"/>
      <c r="D24" s="290" t="s">
        <v>2262</v>
      </c>
      <c r="E24" s="295" t="str">
        <f>Kostenaufstellungen!F279</f>
        <v>Dateneingabe fehlt</v>
      </c>
      <c r="F24" s="295" t="str">
        <f>Kostenaufstellungen!F361</f>
        <v>Dateneingabe fehlt</v>
      </c>
      <c r="G24" s="295" t="str">
        <f>Kostenaufstellungen!F443</f>
        <v>Dateneingabe fehlt</v>
      </c>
      <c r="I24" s="386"/>
    </row>
    <row r="25" spans="1:9" x14ac:dyDescent="0.25">
      <c r="A25" s="294"/>
      <c r="B25" s="294"/>
      <c r="C25" s="290"/>
      <c r="D25" s="290" t="s">
        <v>2263</v>
      </c>
      <c r="E25" s="295" t="str">
        <f>Kostenaufstellungen!F251</f>
        <v>Dateneingabe fehlt</v>
      </c>
      <c r="F25" s="295" t="str">
        <f>Kostenaufstellungen!F333</f>
        <v>Dateneingabe fehlt</v>
      </c>
      <c r="G25" s="295" t="str">
        <f>Kostenaufstellungen!F415</f>
        <v>Dateneingabe fehlt</v>
      </c>
      <c r="I25" s="386"/>
    </row>
    <row r="26" spans="1:9" x14ac:dyDescent="0.25">
      <c r="A26" s="294"/>
      <c r="B26" s="294"/>
      <c r="C26" s="290"/>
      <c r="D26" s="290" t="s">
        <v>2264</v>
      </c>
      <c r="E26" s="295" t="str">
        <f>Kostenaufstellungen!F290</f>
        <v>Dateneingabe fehlt</v>
      </c>
      <c r="F26" s="295" t="str">
        <f>Kostenaufstellungen!F372</f>
        <v>Dateneingabe fehlt</v>
      </c>
      <c r="G26" s="295" t="str">
        <f>Kostenaufstellungen!F454</f>
        <v>Dateneingabe fehlt</v>
      </c>
      <c r="I26" s="386"/>
    </row>
    <row r="27" spans="1:9" ht="6.95" customHeight="1" thickBot="1" x14ac:dyDescent="0.3">
      <c r="B27" s="289"/>
      <c r="C27" s="290"/>
      <c r="D27" s="290"/>
      <c r="E27" s="290"/>
      <c r="F27" s="290"/>
      <c r="G27" s="290"/>
      <c r="I27" s="272"/>
    </row>
    <row r="28" spans="1:9" ht="15.75" thickTop="1" x14ac:dyDescent="0.25">
      <c r="A28" s="283" t="s">
        <v>2095</v>
      </c>
      <c r="B28" s="296" t="str">
        <f t="shared" ref="B28:G28" si="0">B92</f>
        <v>Erdgas</v>
      </c>
      <c r="C28" s="296" t="str">
        <f t="shared" si="0"/>
        <v>Fernwärme</v>
      </c>
      <c r="D28" s="296" t="str">
        <f t="shared" si="0"/>
        <v>Strom</v>
      </c>
      <c r="E28" s="296" t="str">
        <f t="shared" si="0"/>
        <v>And. Energieträger 1</v>
      </c>
      <c r="F28" s="296" t="str">
        <f t="shared" si="0"/>
        <v>And. Energieträger 2</v>
      </c>
      <c r="G28" s="377" t="str">
        <f t="shared" si="0"/>
        <v>And. Energieträger 3</v>
      </c>
      <c r="I28" s="272" t="s">
        <v>2098</v>
      </c>
    </row>
    <row r="29" spans="1:9" x14ac:dyDescent="0.25">
      <c r="A29" s="284" t="s">
        <v>2270</v>
      </c>
      <c r="B29" s="292" t="str">
        <f>Kostenaufstellungen!F39</f>
        <v>Dateneingabe fehlt</v>
      </c>
      <c r="C29" s="292" t="str">
        <f>Kostenaufstellungen!F107</f>
        <v>Dateneingabe fehlt</v>
      </c>
      <c r="D29" s="292" t="str">
        <f>Kostenaufstellungen!F175</f>
        <v>Dateneingabe fehlt</v>
      </c>
      <c r="E29" s="388" t="s">
        <v>2123</v>
      </c>
      <c r="F29" s="388" t="s">
        <v>2123</v>
      </c>
      <c r="G29" s="389" t="s">
        <v>2123</v>
      </c>
      <c r="I29" s="272" t="s">
        <v>2097</v>
      </c>
    </row>
    <row r="30" spans="1:9" x14ac:dyDescent="0.25">
      <c r="A30" s="284" t="s">
        <v>2271</v>
      </c>
      <c r="B30" s="292" t="str">
        <f>Kostenaufstellungen!F72</f>
        <v>Dateneingabe fehlt</v>
      </c>
      <c r="C30" s="292" t="str">
        <f>Kostenaufstellungen!F140</f>
        <v>Dateneingabe fehlt</v>
      </c>
      <c r="D30" s="292" t="str">
        <f>Kostenaufstellungen!F208</f>
        <v>Dateneingabe fehlt</v>
      </c>
      <c r="E30" s="388" t="s">
        <v>2123</v>
      </c>
      <c r="F30" s="388" t="s">
        <v>2123</v>
      </c>
      <c r="G30" s="389" t="s">
        <v>2123</v>
      </c>
      <c r="I30" s="272" t="s">
        <v>2096</v>
      </c>
    </row>
    <row r="31" spans="1:9" x14ac:dyDescent="0.25">
      <c r="A31" s="284" t="s">
        <v>2136</v>
      </c>
      <c r="B31" s="293" t="str">
        <f>Kostenaufstellungen!F28</f>
        <v>Dateneingabe fehlt</v>
      </c>
      <c r="C31" s="293" t="str">
        <f>Kostenaufstellungen!F96</f>
        <v>Dateneingabe fehlt</v>
      </c>
      <c r="D31" s="293" t="str">
        <f>Kostenaufstellungen!F164</f>
        <v>Dateneingabe fehlt</v>
      </c>
      <c r="E31" s="388" t="s">
        <v>2123</v>
      </c>
      <c r="F31" s="388" t="s">
        <v>2123</v>
      </c>
      <c r="G31" s="389" t="s">
        <v>2123</v>
      </c>
      <c r="I31" s="272" t="s">
        <v>2099</v>
      </c>
    </row>
    <row r="32" spans="1:9" x14ac:dyDescent="0.25">
      <c r="A32" s="284" t="s">
        <v>2137</v>
      </c>
      <c r="B32" s="293">
        <f>'Stufe 2 und 3'!B26</f>
        <v>0</v>
      </c>
      <c r="C32" s="293">
        <f>'Stufe 2 und 3'!D26</f>
        <v>0</v>
      </c>
      <c r="D32" s="293">
        <f>'Stufe 2 und 3'!F26</f>
        <v>0</v>
      </c>
      <c r="E32" s="388" t="s">
        <v>2123</v>
      </c>
      <c r="F32" s="388" t="s">
        <v>2123</v>
      </c>
      <c r="G32" s="389" t="s">
        <v>2123</v>
      </c>
      <c r="I32" s="272" t="s">
        <v>2100</v>
      </c>
    </row>
    <row r="33" spans="1:9" ht="15.75" thickBot="1" x14ac:dyDescent="0.3">
      <c r="A33" s="285" t="s">
        <v>2101</v>
      </c>
      <c r="B33" s="378">
        <f>B93</f>
        <v>0</v>
      </c>
      <c r="C33" s="378">
        <f>C93</f>
        <v>0</v>
      </c>
      <c r="D33" s="378">
        <f>D93</f>
        <v>0</v>
      </c>
      <c r="E33" s="378">
        <f t="shared" ref="E33:G33" si="1">E93</f>
        <v>0</v>
      </c>
      <c r="F33" s="378">
        <f t="shared" si="1"/>
        <v>0</v>
      </c>
      <c r="G33" s="379">
        <f t="shared" si="1"/>
        <v>0</v>
      </c>
      <c r="I33" s="272" t="s">
        <v>2102</v>
      </c>
    </row>
    <row r="34" spans="1:9" ht="15.75" hidden="1" thickTop="1" x14ac:dyDescent="0.25">
      <c r="B34" s="276">
        <f>IF(B33=0,1,0)</f>
        <v>1</v>
      </c>
      <c r="C34" s="276">
        <f t="shared" ref="C34:G34" si="2">IF(C33=0,1,0)</f>
        <v>1</v>
      </c>
      <c r="D34" s="276">
        <f t="shared" si="2"/>
        <v>1</v>
      </c>
      <c r="E34" s="276">
        <f t="shared" si="2"/>
        <v>1</v>
      </c>
      <c r="F34" s="276">
        <f t="shared" si="2"/>
        <v>1</v>
      </c>
      <c r="G34" s="276">
        <f t="shared" si="2"/>
        <v>1</v>
      </c>
      <c r="I34" s="272"/>
    </row>
    <row r="35" spans="1:9" ht="15.75" thickTop="1" x14ac:dyDescent="0.25"/>
    <row r="36" spans="1:9" hidden="1" x14ac:dyDescent="0.25">
      <c r="A36" s="32" t="s">
        <v>2135</v>
      </c>
    </row>
    <row r="37" spans="1:9" ht="15.75" hidden="1" customHeight="1" x14ac:dyDescent="0.25">
      <c r="A37" s="229" t="s">
        <v>2033</v>
      </c>
      <c r="D37" t="s">
        <v>2037</v>
      </c>
      <c r="F37" s="266" t="str">
        <f>IF('Stufe 1'!M13=1,"Nicht erfüllt","Erfüllt")</f>
        <v>Erfüllt</v>
      </c>
    </row>
    <row r="38" spans="1:9" ht="15.75" hidden="1" customHeight="1" x14ac:dyDescent="0.25">
      <c r="A38" s="229"/>
    </row>
    <row r="39" spans="1:9" ht="15" hidden="1" customHeight="1" x14ac:dyDescent="0.25">
      <c r="A39" s="234"/>
      <c r="B39" s="233" t="s">
        <v>21</v>
      </c>
      <c r="C39" s="233" t="s">
        <v>1987</v>
      </c>
      <c r="D39" s="233" t="s">
        <v>5</v>
      </c>
      <c r="E39" s="233" t="str">
        <f>'Stufe 2 und 3'!$H$20</f>
        <v>And. Energieträger 1</v>
      </c>
      <c r="F39" s="233" t="str">
        <f>'Stufe 2 und 3'!$J$20</f>
        <v>And. Energieträger 2</v>
      </c>
      <c r="G39" s="233" t="str">
        <f>'Stufe 2 und 3'!$L$20</f>
        <v>And. Energieträger 3</v>
      </c>
      <c r="H39" s="234"/>
      <c r="I39" s="233" t="s">
        <v>2034</v>
      </c>
    </row>
    <row r="40" spans="1:9" ht="15" hidden="1" customHeight="1" x14ac:dyDescent="0.25">
      <c r="A40" t="s">
        <v>2039</v>
      </c>
      <c r="B40" s="228">
        <f>'Stufe 1'!J22</f>
        <v>0</v>
      </c>
      <c r="C40" s="228">
        <f>'Stufe 1'!J29</f>
        <v>0</v>
      </c>
      <c r="D40" s="228">
        <f>'Stufe 1'!J36</f>
        <v>0</v>
      </c>
      <c r="E40" s="228">
        <f>'Stufe 1'!J48</f>
        <v>0</v>
      </c>
      <c r="F40" s="228">
        <f>'Stufe 1'!J56</f>
        <v>0</v>
      </c>
      <c r="G40" s="228">
        <f>'Stufe 1'!J64</f>
        <v>0</v>
      </c>
      <c r="I40" s="228">
        <f>SUM(B40:G40)</f>
        <v>0</v>
      </c>
    </row>
    <row r="41" spans="1:9" ht="15" hidden="1" customHeight="1" x14ac:dyDescent="0.25">
      <c r="A41" t="s">
        <v>2038</v>
      </c>
      <c r="B41" s="231" t="str">
        <f t="shared" ref="B41:G41" si="3">IFERROR(ROUND(B40/$I$40,4),"")</f>
        <v/>
      </c>
      <c r="C41" s="231" t="str">
        <f t="shared" si="3"/>
        <v/>
      </c>
      <c r="D41" s="231" t="str">
        <f t="shared" si="3"/>
        <v/>
      </c>
      <c r="E41" s="231" t="str">
        <f t="shared" si="3"/>
        <v/>
      </c>
      <c r="F41" s="231" t="str">
        <f t="shared" si="3"/>
        <v/>
      </c>
      <c r="G41" s="231" t="str">
        <f t="shared" si="3"/>
        <v/>
      </c>
      <c r="I41" s="230">
        <f>SUM(B41:G41)</f>
        <v>0</v>
      </c>
    </row>
    <row r="42" spans="1:9" ht="15" hidden="1" customHeight="1" x14ac:dyDescent="0.25"/>
    <row r="43" spans="1:9" ht="15" hidden="1" customHeight="1" x14ac:dyDescent="0.25">
      <c r="A43" t="s">
        <v>2041</v>
      </c>
      <c r="C43" t="s">
        <v>2071</v>
      </c>
      <c r="E43" s="230"/>
      <c r="F43" s="230" t="e">
        <f>ROUND(Ergebnis!C5/Ergebnis!C8,4)</f>
        <v>#DIV/0!</v>
      </c>
      <c r="I43" s="228">
        <f>'Stufe 1'!J66</f>
        <v>0</v>
      </c>
    </row>
    <row r="44" spans="1:9" ht="15" hidden="1" customHeight="1" x14ac:dyDescent="0.25">
      <c r="A44" t="s">
        <v>2042</v>
      </c>
      <c r="C44" t="s">
        <v>2266</v>
      </c>
      <c r="F44" s="230" t="e">
        <f>Ergebnis!I12*Ergebnis!I18</f>
        <v>#DIV/0!</v>
      </c>
      <c r="I44" s="228" t="e">
        <f>I43*F44</f>
        <v>#DIV/0!</v>
      </c>
    </row>
    <row r="45" spans="1:9" ht="15" hidden="1" customHeight="1" x14ac:dyDescent="0.25"/>
    <row r="46" spans="1:9" ht="15" hidden="1" customHeight="1" x14ac:dyDescent="0.25">
      <c r="A46" t="s">
        <v>2073</v>
      </c>
      <c r="B46" s="263">
        <f t="shared" ref="B46:G46" si="4">IFERROR(ROUND(B40*$F$44,2),0)</f>
        <v>0</v>
      </c>
      <c r="C46" s="263">
        <f t="shared" si="4"/>
        <v>0</v>
      </c>
      <c r="D46" s="263">
        <f t="shared" si="4"/>
        <v>0</v>
      </c>
      <c r="E46" s="263">
        <f t="shared" si="4"/>
        <v>0</v>
      </c>
      <c r="F46" s="263">
        <f t="shared" si="4"/>
        <v>0</v>
      </c>
      <c r="G46" s="263">
        <f t="shared" si="4"/>
        <v>0</v>
      </c>
      <c r="I46" s="228">
        <f>SUM(B46:G46)</f>
        <v>0</v>
      </c>
    </row>
    <row r="47" spans="1:9" ht="15" hidden="1" customHeight="1" x14ac:dyDescent="0.25">
      <c r="A47" s="232" t="s">
        <v>2074</v>
      </c>
      <c r="B47" s="263">
        <f t="shared" ref="B47:G47" si="5">IFERROR(ROUND($I$47*B41,2),0)</f>
        <v>0</v>
      </c>
      <c r="C47" s="263">
        <f t="shared" si="5"/>
        <v>0</v>
      </c>
      <c r="D47" s="263">
        <f t="shared" si="5"/>
        <v>0</v>
      </c>
      <c r="E47" s="263">
        <f t="shared" si="5"/>
        <v>0</v>
      </c>
      <c r="F47" s="263">
        <f t="shared" si="5"/>
        <v>0</v>
      </c>
      <c r="G47" s="263">
        <f t="shared" si="5"/>
        <v>0</v>
      </c>
      <c r="I47" s="228" t="e">
        <f>(ROUND(I44-I46,2))</f>
        <v>#DIV/0!</v>
      </c>
    </row>
    <row r="48" spans="1:9" ht="15" hidden="1" customHeight="1" x14ac:dyDescent="0.25">
      <c r="A48" s="32" t="s">
        <v>2075</v>
      </c>
      <c r="B48" s="280">
        <f t="shared" ref="B48:G48" si="6">SUM(B46:B47)</f>
        <v>0</v>
      </c>
      <c r="C48" s="280">
        <f t="shared" si="6"/>
        <v>0</v>
      </c>
      <c r="D48" s="280">
        <f t="shared" si="6"/>
        <v>0</v>
      </c>
      <c r="E48" s="280">
        <f t="shared" si="6"/>
        <v>0</v>
      </c>
      <c r="F48" s="280">
        <f t="shared" si="6"/>
        <v>0</v>
      </c>
      <c r="G48" s="280">
        <f t="shared" si="6"/>
        <v>0</v>
      </c>
      <c r="I48" s="277">
        <f>SUM(B48:G48)</f>
        <v>0</v>
      </c>
    </row>
    <row r="49" spans="1:9" ht="15" hidden="1" customHeight="1" x14ac:dyDescent="0.25"/>
    <row r="50" spans="1:9" ht="15" hidden="1" customHeight="1" x14ac:dyDescent="0.25"/>
    <row r="51" spans="1:9" ht="15.75" hidden="1" customHeight="1" x14ac:dyDescent="0.25">
      <c r="A51" s="229" t="s">
        <v>2035</v>
      </c>
      <c r="D51" t="s">
        <v>2037</v>
      </c>
      <c r="F51" s="266" t="str">
        <f>'Stufe 2 und 3'!B69</f>
        <v>Nicht erfüllt</v>
      </c>
    </row>
    <row r="52" spans="1:9" ht="15.75" hidden="1" customHeight="1" x14ac:dyDescent="0.25">
      <c r="A52" s="229"/>
    </row>
    <row r="53" spans="1:9" ht="15" hidden="1" customHeight="1" x14ac:dyDescent="0.25">
      <c r="A53" s="232"/>
      <c r="B53" s="233" t="s">
        <v>21</v>
      </c>
      <c r="C53" s="233" t="s">
        <v>1987</v>
      </c>
      <c r="D53" s="233" t="s">
        <v>5</v>
      </c>
      <c r="E53" s="233" t="str">
        <f>'Stufe 2 und 3'!$H$20</f>
        <v>And. Energieträger 1</v>
      </c>
      <c r="F53" s="233" t="str">
        <f>'Stufe 2 und 3'!$J$20</f>
        <v>And. Energieträger 2</v>
      </c>
      <c r="G53" s="233" t="str">
        <f>'Stufe 2 und 3'!$L$20</f>
        <v>And. Energieträger 3</v>
      </c>
      <c r="H53" s="234"/>
      <c r="I53" s="233" t="s">
        <v>2034</v>
      </c>
    </row>
    <row r="54" spans="1:9" ht="15" hidden="1" customHeight="1" x14ac:dyDescent="0.25">
      <c r="A54" t="s">
        <v>2036</v>
      </c>
      <c r="B54" s="281" t="str">
        <f>'Stufe 2 und 3'!B31</f>
        <v>Daten fehlen</v>
      </c>
      <c r="C54" s="281" t="str">
        <f>'Stufe 2 und 3'!D31</f>
        <v>Daten fehlen</v>
      </c>
      <c r="D54" s="281" t="str">
        <f>'Stufe 2 und 3'!F31</f>
        <v>Daten fehlen</v>
      </c>
      <c r="E54" s="281" t="str">
        <f>'Stufe 2 und 3'!H31</f>
        <v>Daten fehlen</v>
      </c>
      <c r="F54" s="281" t="str">
        <f>'Stufe 2 und 3'!J31</f>
        <v>Daten fehlen</v>
      </c>
      <c r="G54" s="281" t="str">
        <f>'Stufe 2 und 3'!L31</f>
        <v>Daten fehlen</v>
      </c>
      <c r="I54" s="228">
        <f>SUM(B54:G54)</f>
        <v>0</v>
      </c>
    </row>
    <row r="55" spans="1:9" ht="15" hidden="1" customHeight="1" x14ac:dyDescent="0.25">
      <c r="A55" t="s">
        <v>2038</v>
      </c>
      <c r="B55" s="278">
        <f t="shared" ref="B55:G55" si="7">IFERROR(ROUND(B54/$I$54,4),0)</f>
        <v>0</v>
      </c>
      <c r="C55" s="278">
        <f t="shared" si="7"/>
        <v>0</v>
      </c>
      <c r="D55" s="278">
        <f t="shared" si="7"/>
        <v>0</v>
      </c>
      <c r="E55" s="278">
        <f t="shared" si="7"/>
        <v>0</v>
      </c>
      <c r="F55" s="278">
        <f t="shared" si="7"/>
        <v>0</v>
      </c>
      <c r="G55" s="278">
        <f t="shared" si="7"/>
        <v>0</v>
      </c>
      <c r="I55" s="279">
        <f>SUM(B55:G55)</f>
        <v>0</v>
      </c>
    </row>
    <row r="56" spans="1:9" ht="15" hidden="1" customHeight="1" x14ac:dyDescent="0.25">
      <c r="B56" s="281"/>
      <c r="C56" s="281"/>
      <c r="D56" s="281"/>
      <c r="E56" s="281"/>
      <c r="F56" s="281"/>
      <c r="G56" s="281"/>
      <c r="I56" s="228"/>
    </row>
    <row r="57" spans="1:9" ht="15" hidden="1" customHeight="1" x14ac:dyDescent="0.25">
      <c r="A57" t="s">
        <v>2069</v>
      </c>
      <c r="C57" t="s">
        <v>2072</v>
      </c>
      <c r="F57" s="279">
        <f>IFERROR(ROUND(I57/I54,4),0)</f>
        <v>0</v>
      </c>
      <c r="I57" s="228">
        <f>Ergebnis!C6</f>
        <v>0</v>
      </c>
    </row>
    <row r="58" spans="1:9" ht="15" hidden="1" customHeight="1" x14ac:dyDescent="0.25">
      <c r="A58" t="s">
        <v>2076</v>
      </c>
      <c r="C58" t="s">
        <v>2071</v>
      </c>
      <c r="E58" s="279"/>
      <c r="F58" s="279" t="e">
        <f>ROUND(Ergebnis!H7/Ergebnis!C8,4)</f>
        <v>#DIV/0!</v>
      </c>
      <c r="I58" s="263">
        <f>SUM(Ergebnis!C6:C7)</f>
        <v>0</v>
      </c>
    </row>
    <row r="59" spans="1:9" ht="15" hidden="1" customHeight="1" x14ac:dyDescent="0.25">
      <c r="F59" s="279"/>
      <c r="I59" s="228"/>
    </row>
    <row r="60" spans="1:9" ht="15" hidden="1" customHeight="1" x14ac:dyDescent="0.25">
      <c r="A60" t="s">
        <v>2073</v>
      </c>
      <c r="B60" s="263">
        <f t="shared" ref="B60:G60" si="8">IFERROR(ROUND(B54*$F$58*$F$57,2),0)</f>
        <v>0</v>
      </c>
      <c r="C60" s="263">
        <f t="shared" si="8"/>
        <v>0</v>
      </c>
      <c r="D60" s="263">
        <f t="shared" si="8"/>
        <v>0</v>
      </c>
      <c r="E60" s="263">
        <f t="shared" si="8"/>
        <v>0</v>
      </c>
      <c r="F60" s="263">
        <f t="shared" si="8"/>
        <v>0</v>
      </c>
      <c r="G60" s="263">
        <f t="shared" si="8"/>
        <v>0</v>
      </c>
      <c r="I60" s="228">
        <f>SUM(B60:G60)</f>
        <v>0</v>
      </c>
    </row>
    <row r="61" spans="1:9" ht="15" hidden="1" customHeight="1" x14ac:dyDescent="0.25">
      <c r="A61" s="232" t="s">
        <v>2074</v>
      </c>
      <c r="B61" s="263">
        <f t="shared" ref="B61:G61" si="9">IFERROR(-ROUND($I$61*B55,2),0)</f>
        <v>0</v>
      </c>
      <c r="C61" s="263">
        <f t="shared" si="9"/>
        <v>0</v>
      </c>
      <c r="D61" s="263">
        <f t="shared" si="9"/>
        <v>0</v>
      </c>
      <c r="E61" s="263">
        <f t="shared" si="9"/>
        <v>0</v>
      </c>
      <c r="F61" s="263">
        <f t="shared" si="9"/>
        <v>0</v>
      </c>
      <c r="G61" s="263">
        <f t="shared" si="9"/>
        <v>0</v>
      </c>
      <c r="I61" s="228">
        <f>I60-I58</f>
        <v>0</v>
      </c>
    </row>
    <row r="62" spans="1:9" ht="15" hidden="1" customHeight="1" x14ac:dyDescent="0.25">
      <c r="A62" s="32" t="s">
        <v>2075</v>
      </c>
      <c r="B62" s="280">
        <f t="shared" ref="B62:G62" si="10">SUM(B60:B61)</f>
        <v>0</v>
      </c>
      <c r="C62" s="280">
        <f t="shared" si="10"/>
        <v>0</v>
      </c>
      <c r="D62" s="280">
        <f t="shared" si="10"/>
        <v>0</v>
      </c>
      <c r="E62" s="280">
        <f t="shared" si="10"/>
        <v>0</v>
      </c>
      <c r="F62" s="280">
        <f t="shared" si="10"/>
        <v>0</v>
      </c>
      <c r="G62" s="280">
        <f t="shared" si="10"/>
        <v>0</v>
      </c>
      <c r="I62" s="228">
        <f>SUM(B62:G62)</f>
        <v>0</v>
      </c>
    </row>
    <row r="63" spans="1:9" ht="15" hidden="1" customHeight="1" x14ac:dyDescent="0.25">
      <c r="F63" s="279"/>
      <c r="I63" s="228"/>
    </row>
    <row r="64" spans="1:9" ht="15" hidden="1" customHeight="1" x14ac:dyDescent="0.25">
      <c r="A64" t="s">
        <v>2070</v>
      </c>
      <c r="C64" t="s">
        <v>2266</v>
      </c>
      <c r="F64" s="279" t="e">
        <f>Ergebnis!I12*Ergebnis!I18</f>
        <v>#DIV/0!</v>
      </c>
      <c r="I64" s="228" t="e">
        <f>ROUND(I62*F64,2)</f>
        <v>#DIV/0!</v>
      </c>
    </row>
    <row r="65" spans="1:9" ht="15" hidden="1" customHeight="1" x14ac:dyDescent="0.25"/>
    <row r="66" spans="1:9" ht="15" hidden="1" customHeight="1" x14ac:dyDescent="0.25">
      <c r="A66" t="s">
        <v>2073</v>
      </c>
      <c r="B66" s="263">
        <f t="shared" ref="B66:G66" si="11">IFERROR(ROUND(B62*$F$64,2),0)</f>
        <v>0</v>
      </c>
      <c r="C66" s="263">
        <f t="shared" si="11"/>
        <v>0</v>
      </c>
      <c r="D66" s="263">
        <f t="shared" si="11"/>
        <v>0</v>
      </c>
      <c r="E66" s="263">
        <f t="shared" si="11"/>
        <v>0</v>
      </c>
      <c r="F66" s="263">
        <f t="shared" si="11"/>
        <v>0</v>
      </c>
      <c r="G66" s="263">
        <f t="shared" si="11"/>
        <v>0</v>
      </c>
      <c r="I66" s="228">
        <f>SUM(B66:G66)</f>
        <v>0</v>
      </c>
    </row>
    <row r="67" spans="1:9" ht="15" hidden="1" customHeight="1" x14ac:dyDescent="0.25">
      <c r="A67" s="232" t="s">
        <v>2074</v>
      </c>
      <c r="B67" s="263">
        <f t="shared" ref="B67:G67" si="12">IFERROR(ROUND($I$67*B55,2),0)</f>
        <v>0</v>
      </c>
      <c r="C67" s="263">
        <f t="shared" si="12"/>
        <v>0</v>
      </c>
      <c r="D67" s="263">
        <f t="shared" si="12"/>
        <v>0</v>
      </c>
      <c r="E67" s="263">
        <f t="shared" si="12"/>
        <v>0</v>
      </c>
      <c r="F67" s="263">
        <f t="shared" si="12"/>
        <v>0</v>
      </c>
      <c r="G67" s="263">
        <f t="shared" si="12"/>
        <v>0</v>
      </c>
      <c r="I67" s="228" t="e">
        <f>I66-I64</f>
        <v>#DIV/0!</v>
      </c>
    </row>
    <row r="68" spans="1:9" ht="15" hidden="1" customHeight="1" x14ac:dyDescent="0.25">
      <c r="A68" s="32" t="s">
        <v>2075</v>
      </c>
      <c r="B68" s="280">
        <f t="shared" ref="B68:G68" si="13">SUM(B66:B67)</f>
        <v>0</v>
      </c>
      <c r="C68" s="280">
        <f t="shared" si="13"/>
        <v>0</v>
      </c>
      <c r="D68" s="280">
        <f t="shared" si="13"/>
        <v>0</v>
      </c>
      <c r="E68" s="280">
        <f t="shared" si="13"/>
        <v>0</v>
      </c>
      <c r="F68" s="280">
        <f t="shared" si="13"/>
        <v>0</v>
      </c>
      <c r="G68" s="280">
        <f t="shared" si="13"/>
        <v>0</v>
      </c>
      <c r="I68" s="228">
        <f>SUM(B68:G68)</f>
        <v>0</v>
      </c>
    </row>
    <row r="69" spans="1:9" ht="15" hidden="1" customHeight="1" x14ac:dyDescent="0.25"/>
    <row r="70" spans="1:9" ht="15" hidden="1" customHeight="1" x14ac:dyDescent="0.25"/>
    <row r="71" spans="1:9" ht="15.75" hidden="1" customHeight="1" x14ac:dyDescent="0.25">
      <c r="A71" s="229" t="s">
        <v>2080</v>
      </c>
    </row>
    <row r="72" spans="1:9" ht="15" hidden="1" customHeight="1" x14ac:dyDescent="0.25"/>
    <row r="73" spans="1:9" ht="15" hidden="1" customHeight="1" x14ac:dyDescent="0.25">
      <c r="A73" s="232"/>
      <c r="B73" s="233" t="s">
        <v>21</v>
      </c>
      <c r="C73" s="233" t="s">
        <v>1987</v>
      </c>
      <c r="D73" s="233" t="s">
        <v>5</v>
      </c>
      <c r="E73" s="233" t="str">
        <f>'Stufe 2 und 3'!$H$20</f>
        <v>And. Energieträger 1</v>
      </c>
      <c r="F73" s="233" t="str">
        <f>'Stufe 2 und 3'!$J$20</f>
        <v>And. Energieträger 2</v>
      </c>
      <c r="G73" s="233" t="str">
        <f>'Stufe 2 und 3'!$L$20</f>
        <v>And. Energieträger 3</v>
      </c>
      <c r="H73" s="234"/>
      <c r="I73" s="233" t="s">
        <v>2034</v>
      </c>
    </row>
    <row r="74" spans="1:9" ht="15" hidden="1" customHeight="1" x14ac:dyDescent="0.25">
      <c r="A74" t="s">
        <v>2081</v>
      </c>
      <c r="I74" s="263">
        <f>Ergebnis!C10</f>
        <v>0</v>
      </c>
    </row>
    <row r="75" spans="1:9" ht="15" hidden="1" customHeight="1" x14ac:dyDescent="0.25">
      <c r="A75" s="232" t="s">
        <v>2082</v>
      </c>
      <c r="I75" s="263">
        <f>Ergebnis!C11</f>
        <v>0</v>
      </c>
    </row>
    <row r="76" spans="1:9" ht="15" hidden="1" customHeight="1" x14ac:dyDescent="0.25">
      <c r="A76" t="s">
        <v>2075</v>
      </c>
      <c r="I76" s="263">
        <f>Ergebnis!C12</f>
        <v>0</v>
      </c>
    </row>
    <row r="77" spans="1:9" ht="15" hidden="1" customHeight="1" x14ac:dyDescent="0.25">
      <c r="I77" s="263"/>
    </row>
    <row r="78" spans="1:9" ht="15" hidden="1" customHeight="1" x14ac:dyDescent="0.25">
      <c r="A78" t="s">
        <v>2083</v>
      </c>
      <c r="C78" t="s">
        <v>2266</v>
      </c>
      <c r="F78" s="279" t="e">
        <f>Ergebnis!I12*Ergebnis!I18</f>
        <v>#DIV/0!</v>
      </c>
      <c r="I78" s="263" t="e">
        <f>ROUND(I76*F78,2)</f>
        <v>#DIV/0!</v>
      </c>
    </row>
    <row r="79" spans="1:9" ht="15" hidden="1" customHeight="1" x14ac:dyDescent="0.25"/>
    <row r="80" spans="1:9" ht="15" hidden="1" customHeight="1" x14ac:dyDescent="0.25"/>
    <row r="81" spans="1:9" ht="15" hidden="1" customHeight="1" x14ac:dyDescent="0.25">
      <c r="A81" t="s">
        <v>2084</v>
      </c>
      <c r="B81" s="263" t="str">
        <f>'Stufe 2 und 3'!B29</f>
        <v>Daten fehlen</v>
      </c>
      <c r="C81" s="263" t="str">
        <f>'Stufe 2 und 3'!D29</f>
        <v>Daten fehlen</v>
      </c>
      <c r="D81" s="263" t="str">
        <f>'Stufe 2 und 3'!F29</f>
        <v>Daten fehlen</v>
      </c>
      <c r="E81" s="263" t="str">
        <f>'Stufe 2 und 3'!H29</f>
        <v>Daten fehlen</v>
      </c>
      <c r="F81" s="263" t="str">
        <f>'Stufe 2 und 3'!J29</f>
        <v>Daten fehlen</v>
      </c>
      <c r="G81" s="263" t="str">
        <f>'Stufe 2 und 3'!L29</f>
        <v>Daten fehlen</v>
      </c>
      <c r="H81" s="263"/>
      <c r="I81" s="263">
        <f>SUM(B81:G81)</f>
        <v>0</v>
      </c>
    </row>
    <row r="82" spans="1:9" ht="15" hidden="1" customHeight="1" x14ac:dyDescent="0.25"/>
    <row r="83" spans="1:9" ht="15" hidden="1" customHeight="1" x14ac:dyDescent="0.25">
      <c r="A83" t="s">
        <v>2085</v>
      </c>
      <c r="B83" s="263">
        <f t="shared" ref="B83:G83" si="14">IFERROR(ROUND(B81*($I$78/$I$81),2),0)</f>
        <v>0</v>
      </c>
      <c r="C83" s="263">
        <f t="shared" si="14"/>
        <v>0</v>
      </c>
      <c r="D83" s="263">
        <f t="shared" si="14"/>
        <v>0</v>
      </c>
      <c r="E83" s="263">
        <f t="shared" si="14"/>
        <v>0</v>
      </c>
      <c r="F83" s="263">
        <f t="shared" si="14"/>
        <v>0</v>
      </c>
      <c r="G83" s="263">
        <f t="shared" si="14"/>
        <v>0</v>
      </c>
      <c r="I83" s="228">
        <f>SUM(B83:G83)</f>
        <v>0</v>
      </c>
    </row>
    <row r="84" spans="1:9" ht="15" hidden="1" customHeight="1" x14ac:dyDescent="0.25">
      <c r="B84" s="263"/>
      <c r="C84" s="263"/>
      <c r="D84" s="263"/>
      <c r="E84" s="263"/>
      <c r="F84" s="263"/>
      <c r="G84" s="263"/>
      <c r="I84" s="228"/>
    </row>
    <row r="85" spans="1:9" ht="15" hidden="1" customHeight="1" x14ac:dyDescent="0.25">
      <c r="A85" s="232" t="s">
        <v>2074</v>
      </c>
      <c r="B85" s="263">
        <f>IFERROR(ROUND($I$67*#REF!,2),0)</f>
        <v>0</v>
      </c>
      <c r="C85" s="263">
        <f>IFERROR(ROUND($I$67*#REF!,2),0)</f>
        <v>0</v>
      </c>
      <c r="D85" s="263">
        <f>IFERROR(ROUND($I$67*#REF!,2),0)</f>
        <v>0</v>
      </c>
      <c r="E85" s="263">
        <f>IFERROR(ROUND($I$67*#REF!,2),0)</f>
        <v>0</v>
      </c>
      <c r="F85" s="263">
        <f>IFERROR(ROUND($I$67*#REF!,2),0)</f>
        <v>0</v>
      </c>
      <c r="G85" s="263">
        <f>IFERROR(ROUND($I$67*#REF!,2),0)</f>
        <v>0</v>
      </c>
      <c r="I85" s="228" t="e">
        <f>I83-I78</f>
        <v>#DIV/0!</v>
      </c>
    </row>
    <row r="86" spans="1:9" ht="15" hidden="1" customHeight="1" x14ac:dyDescent="0.25">
      <c r="A86" s="32" t="s">
        <v>2075</v>
      </c>
      <c r="B86" s="280">
        <f t="shared" ref="B86:G86" si="15">SUM(B83:B85)</f>
        <v>0</v>
      </c>
      <c r="C86" s="280">
        <f t="shared" si="15"/>
        <v>0</v>
      </c>
      <c r="D86" s="280">
        <f t="shared" si="15"/>
        <v>0</v>
      </c>
      <c r="E86" s="280">
        <f t="shared" si="15"/>
        <v>0</v>
      </c>
      <c r="F86" s="280">
        <f t="shared" si="15"/>
        <v>0</v>
      </c>
      <c r="G86" s="280">
        <f t="shared" si="15"/>
        <v>0</v>
      </c>
      <c r="I86" s="228">
        <f>SUM(B86:G86)</f>
        <v>0</v>
      </c>
    </row>
    <row r="87" spans="1:9" ht="15" hidden="1" customHeight="1" x14ac:dyDescent="0.25"/>
    <row r="88" spans="1:9" ht="15" hidden="1" customHeight="1" x14ac:dyDescent="0.25"/>
    <row r="89" spans="1:9" ht="15" hidden="1" customHeight="1" x14ac:dyDescent="0.25"/>
    <row r="90" spans="1:9" ht="15" hidden="1" customHeight="1" x14ac:dyDescent="0.25">
      <c r="A90" s="32" t="s">
        <v>2140</v>
      </c>
    </row>
    <row r="91" spans="1:9" ht="15" hidden="1" customHeight="1" x14ac:dyDescent="0.25"/>
    <row r="92" spans="1:9" ht="15" hidden="1" customHeight="1" x14ac:dyDescent="0.25">
      <c r="A92" s="232"/>
      <c r="B92" s="233" t="s">
        <v>21</v>
      </c>
      <c r="C92" s="233" t="s">
        <v>1987</v>
      </c>
      <c r="D92" s="233" t="s">
        <v>5</v>
      </c>
      <c r="E92" s="233" t="str">
        <f>'Stufe 2 und 3'!$H$20</f>
        <v>And. Energieträger 1</v>
      </c>
      <c r="F92" s="233" t="str">
        <f>'Stufe 2 und 3'!$J$20</f>
        <v>And. Energieträger 2</v>
      </c>
      <c r="G92" s="233" t="str">
        <f>'Stufe 2 und 3'!$L$20</f>
        <v>And. Energieträger 3</v>
      </c>
    </row>
    <row r="93" spans="1:9" ht="15" hidden="1" customHeight="1" x14ac:dyDescent="0.25">
      <c r="B93" s="263">
        <f t="shared" ref="B93:G93" si="16">B48+B68+B86</f>
        <v>0</v>
      </c>
      <c r="C93" s="263">
        <f t="shared" si="16"/>
        <v>0</v>
      </c>
      <c r="D93" s="263">
        <f t="shared" si="16"/>
        <v>0</v>
      </c>
      <c r="E93" s="263">
        <f t="shared" si="16"/>
        <v>0</v>
      </c>
      <c r="F93" s="263">
        <f t="shared" si="16"/>
        <v>0</v>
      </c>
      <c r="G93" s="263">
        <f t="shared" si="16"/>
        <v>0</v>
      </c>
      <c r="I93" s="228">
        <f>SUM(B93:G93)</f>
        <v>0</v>
      </c>
    </row>
    <row r="94" spans="1:9" ht="15" hidden="1" customHeight="1" x14ac:dyDescent="0.25"/>
    <row r="95" spans="1:9" ht="15" hidden="1" customHeight="1" x14ac:dyDescent="0.25">
      <c r="G95" t="s">
        <v>2077</v>
      </c>
      <c r="I95" s="228" t="e">
        <f>I48+I68+I78</f>
        <v>#DIV/0!</v>
      </c>
    </row>
    <row r="96" spans="1:9" ht="15" hidden="1" customHeight="1" x14ac:dyDescent="0.25">
      <c r="G96" t="s">
        <v>2078</v>
      </c>
      <c r="I96" s="263" t="str">
        <f>Ergebnis!C18</f>
        <v>Dateneingabe fehlt</v>
      </c>
    </row>
    <row r="97" spans="1:9" ht="15" hidden="1" customHeight="1" x14ac:dyDescent="0.25">
      <c r="G97" s="264" t="s">
        <v>2079</v>
      </c>
      <c r="H97" s="264"/>
      <c r="I97" s="265" t="e">
        <f>I95-I96</f>
        <v>#DIV/0!</v>
      </c>
    </row>
    <row r="98" spans="1:9" hidden="1" x14ac:dyDescent="0.25"/>
    <row r="99" spans="1:9" ht="15.75" collapsed="1" thickBot="1" x14ac:dyDescent="0.3">
      <c r="A99" s="32" t="s">
        <v>2106</v>
      </c>
    </row>
    <row r="100" spans="1:9" ht="15.75" thickTop="1" x14ac:dyDescent="0.25">
      <c r="A100" s="283" t="s">
        <v>2107</v>
      </c>
      <c r="B100" s="372">
        <f>Betriebsstätten!P37</f>
        <v>0</v>
      </c>
      <c r="D100" s="272" t="s">
        <v>2108</v>
      </c>
    </row>
    <row r="101" spans="1:9" x14ac:dyDescent="0.25">
      <c r="A101" s="284" t="s">
        <v>2109</v>
      </c>
      <c r="B101" s="287">
        <f>Betriebsstätten!Q37</f>
        <v>0</v>
      </c>
      <c r="D101" s="272" t="s">
        <v>2114</v>
      </c>
    </row>
    <row r="102" spans="1:9" x14ac:dyDescent="0.25">
      <c r="A102" s="284" t="s">
        <v>2110</v>
      </c>
      <c r="B102" s="287">
        <f>Betriebsstätten!P38</f>
        <v>0</v>
      </c>
      <c r="D102" s="272" t="s">
        <v>2115</v>
      </c>
    </row>
    <row r="103" spans="1:9" x14ac:dyDescent="0.25">
      <c r="A103" s="284" t="s">
        <v>2111</v>
      </c>
      <c r="B103" s="287">
        <f>Betriebsstätten!Q38</f>
        <v>0</v>
      </c>
      <c r="D103" s="272" t="s">
        <v>2119</v>
      </c>
    </row>
    <row r="104" spans="1:9" x14ac:dyDescent="0.25">
      <c r="A104" s="284" t="s">
        <v>2112</v>
      </c>
      <c r="B104" s="287">
        <f>'Stufe 2 und 3'!B50</f>
        <v>0</v>
      </c>
      <c r="D104" s="272" t="s">
        <v>2113</v>
      </c>
    </row>
    <row r="105" spans="1:9" x14ac:dyDescent="0.25">
      <c r="A105" s="383" t="s">
        <v>2103</v>
      </c>
      <c r="B105" s="385">
        <f>I48</f>
        <v>0</v>
      </c>
      <c r="D105" s="282" t="s">
        <v>2116</v>
      </c>
    </row>
    <row r="106" spans="1:9" x14ac:dyDescent="0.25">
      <c r="A106" s="284" t="s">
        <v>2104</v>
      </c>
      <c r="B106" s="287">
        <f>I68</f>
        <v>0</v>
      </c>
      <c r="D106" s="282" t="s">
        <v>2117</v>
      </c>
    </row>
    <row r="107" spans="1:9" ht="15.75" thickBot="1" x14ac:dyDescent="0.3">
      <c r="A107" s="285" t="s">
        <v>2105</v>
      </c>
      <c r="B107" s="371">
        <f>I86</f>
        <v>0</v>
      </c>
      <c r="D107" s="282" t="s">
        <v>2118</v>
      </c>
    </row>
    <row r="108" spans="1:9" ht="15.75" thickTop="1" x14ac:dyDescent="0.25"/>
    <row r="109" spans="1:9" ht="15.75" thickBot="1" x14ac:dyDescent="0.3">
      <c r="A109" s="32" t="s">
        <v>2086</v>
      </c>
    </row>
    <row r="110" spans="1:9" ht="15.75" thickTop="1" x14ac:dyDescent="0.25">
      <c r="A110" s="283" t="s">
        <v>2087</v>
      </c>
      <c r="B110" s="286" t="str">
        <f>IF(Stammdaten!BF25=1,"Ja","Nein")</f>
        <v>Nein</v>
      </c>
      <c r="D110" s="272" t="s">
        <v>2088</v>
      </c>
    </row>
    <row r="111" spans="1:9" x14ac:dyDescent="0.25">
      <c r="A111" s="284" t="s">
        <v>2089</v>
      </c>
      <c r="B111" s="287">
        <f>Stammdaten!AE80</f>
        <v>0</v>
      </c>
      <c r="D111" s="272" t="s">
        <v>2090</v>
      </c>
    </row>
    <row r="112" spans="1:9" x14ac:dyDescent="0.25">
      <c r="A112" s="284" t="s">
        <v>2091</v>
      </c>
      <c r="B112" s="288" t="str">
        <f>IF(Stammdaten!BI64=1,"ja","Nein")</f>
        <v>Nein</v>
      </c>
      <c r="D112" s="272" t="s">
        <v>2092</v>
      </c>
    </row>
    <row r="113" spans="1:4" x14ac:dyDescent="0.25">
      <c r="A113" s="284" t="s">
        <v>2093</v>
      </c>
      <c r="B113" s="288" t="s">
        <v>2123</v>
      </c>
      <c r="D113" s="272" t="s">
        <v>2094</v>
      </c>
    </row>
    <row r="114" spans="1:4" x14ac:dyDescent="0.25">
      <c r="A114" s="284" t="s">
        <v>2121</v>
      </c>
      <c r="B114" s="287">
        <f>Stammdaten!AE85</f>
        <v>0</v>
      </c>
      <c r="D114" s="272" t="s">
        <v>2120</v>
      </c>
    </row>
    <row r="115" spans="1:4" x14ac:dyDescent="0.25">
      <c r="A115" s="284" t="s">
        <v>2122</v>
      </c>
      <c r="B115" s="287">
        <f>Stammdaten!AE87</f>
        <v>0</v>
      </c>
      <c r="D115" s="272" t="s">
        <v>2124</v>
      </c>
    </row>
    <row r="116" spans="1:4" x14ac:dyDescent="0.25">
      <c r="A116" s="383" t="s">
        <v>2125</v>
      </c>
      <c r="B116" s="384" t="str">
        <f>IF(Stammdaten!AE89=0,"",Stammdaten!AE89)</f>
        <v/>
      </c>
      <c r="D116" s="272" t="s">
        <v>2126</v>
      </c>
    </row>
    <row r="117" spans="1:4" x14ac:dyDescent="0.25">
      <c r="A117" s="284" t="s">
        <v>2127</v>
      </c>
      <c r="B117" s="288" t="str">
        <f>IF(Stammdaten!AE92=0,"",Stammdaten!AE92)</f>
        <v/>
      </c>
      <c r="D117" s="272" t="s">
        <v>2128</v>
      </c>
    </row>
    <row r="118" spans="1:4" x14ac:dyDescent="0.25">
      <c r="A118" s="284" t="s">
        <v>2129</v>
      </c>
      <c r="B118" s="288" t="str">
        <f>IF(Stammdaten!AE94=0,"",Stammdaten!AE94)</f>
        <v/>
      </c>
      <c r="D118" s="272" t="s">
        <v>2130</v>
      </c>
    </row>
    <row r="119" spans="1:4" x14ac:dyDescent="0.25">
      <c r="A119" s="284" t="s">
        <v>2131</v>
      </c>
      <c r="B119" s="287">
        <f>Stammdaten!AE97</f>
        <v>0</v>
      </c>
      <c r="D119" s="272" t="s">
        <v>2132</v>
      </c>
    </row>
    <row r="120" spans="1:4" ht="15.75" thickBot="1" x14ac:dyDescent="0.3">
      <c r="A120" s="285" t="s">
        <v>2133</v>
      </c>
      <c r="B120" s="371">
        <f>Stammdaten!AE99</f>
        <v>0</v>
      </c>
      <c r="D120" s="272" t="s">
        <v>2134</v>
      </c>
    </row>
    <row r="121" spans="1:4" ht="15.75" thickTop="1" x14ac:dyDescent="0.25"/>
  </sheetData>
  <sheetProtection algorithmName="SHA-512" hashValue="5d/87JfL2dd2R6aEEslenxxtDiozfNCO8sD8T6sDI3LBidyqXJ3L6No5b61own/7CdRP9FpnIVOT1oNA8cON+A==" saltValue="v9Wk34vpezWSIDI4BwfYrQ==" spinCount="100000" sheet="1" objects="1" scenarios="1" selectLockedCells="1"/>
  <conditionalFormatting sqref="F37 F51">
    <cfRule type="containsText" dxfId="116" priority="11" operator="containsText" text="Erfüllt">
      <formula>NOT(ISERROR(SEARCH("Erfüllt",F37)))</formula>
    </cfRule>
    <cfRule type="containsText" dxfId="115" priority="12" operator="containsText" text="Nicht erfüllt">
      <formula>NOT(ISERROR(SEARCH("Nicht erfüllt",F37)))</formula>
    </cfRule>
  </conditionalFormatting>
  <conditionalFormatting sqref="B28:B33">
    <cfRule type="expression" dxfId="114" priority="10">
      <formula>$B$34=1</formula>
    </cfRule>
  </conditionalFormatting>
  <conditionalFormatting sqref="B4:F8 C18">
    <cfRule type="containsText" dxfId="113" priority="13" operator="containsText" text="Ja">
      <formula>NOT(ISERROR(SEARCH("Ja",B4)))</formula>
    </cfRule>
    <cfRule type="containsText" dxfId="112" priority="14" operator="containsText" text="Nein">
      <formula>NOT(ISERROR(SEARCH("Nein",B4)))</formula>
    </cfRule>
  </conditionalFormatting>
  <conditionalFormatting sqref="C21:C33">
    <cfRule type="expression" dxfId="111" priority="520">
      <formula>$C$34=1</formula>
    </cfRule>
  </conditionalFormatting>
  <conditionalFormatting sqref="D28:D33">
    <cfRule type="expression" dxfId="110" priority="522">
      <formula>$D$34=1</formula>
    </cfRule>
  </conditionalFormatting>
  <conditionalFormatting sqref="F28:F33">
    <cfRule type="expression" dxfId="109" priority="525">
      <formula>$F$34=1</formula>
    </cfRule>
  </conditionalFormatting>
  <conditionalFormatting sqref="G28:G33">
    <cfRule type="expression" dxfId="108" priority="527">
      <formula>$G$34=1</formula>
    </cfRule>
  </conditionalFormatting>
  <conditionalFormatting sqref="E28:E33">
    <cfRule type="expression" dxfId="107" priority="4">
      <formula>$E$34=1</formula>
    </cfRule>
  </conditionalFormatting>
  <conditionalFormatting sqref="E23:E26">
    <cfRule type="expression" dxfId="106" priority="3">
      <formula>$E$34=1</formula>
    </cfRule>
  </conditionalFormatting>
  <conditionalFormatting sqref="F23:F26">
    <cfRule type="expression" dxfId="105" priority="2">
      <formula>$F$34=1</formula>
    </cfRule>
  </conditionalFormatting>
  <conditionalFormatting sqref="G23:G26">
    <cfRule type="expression" dxfId="104" priority="1">
      <formula>$G$34</formula>
    </cfRule>
  </conditionalFormatting>
  <hyperlinks>
    <hyperlink ref="D21" r:id="rId1"/>
  </hyperlinks>
  <pageMargins left="0.70866141732283472" right="0.70866141732283472" top="0.78740157480314965" bottom="0.78740157480314965" header="0.31496062992125984" footer="0.31496062992125984"/>
  <pageSetup paperSize="9" scale="59" orientation="landscape" horizontalDpi="1200" verticalDpi="1200" r:id="rId2"/>
  <headerFooter>
    <oddHeader>&amp;L&amp;"-,Fett"&amp;16Berechnungshilfe "Sächsisches Härtefallprogramm Energie für Unternehmen (Modul 2022)"&amp;R&amp;G</oddHead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tabColor rgb="FFFF0000"/>
  </sheetPr>
  <dimension ref="A1:Q40"/>
  <sheetViews>
    <sheetView workbookViewId="0">
      <selection activeCell="L35" sqref="L35"/>
    </sheetView>
  </sheetViews>
  <sheetFormatPr baseColWidth="10" defaultRowHeight="15" x14ac:dyDescent="0.25"/>
  <cols>
    <col min="6" max="6" width="73.28515625" customWidth="1"/>
  </cols>
  <sheetData>
    <row r="1" spans="1:17" x14ac:dyDescent="0.25">
      <c r="A1" t="s">
        <v>6</v>
      </c>
      <c r="C1" t="s">
        <v>7</v>
      </c>
      <c r="F1" t="s">
        <v>24</v>
      </c>
      <c r="K1" t="s">
        <v>52</v>
      </c>
      <c r="P1" t="s">
        <v>70</v>
      </c>
    </row>
    <row r="2" spans="1:17" x14ac:dyDescent="0.25">
      <c r="G2" t="s">
        <v>47</v>
      </c>
      <c r="H2" t="s">
        <v>45</v>
      </c>
      <c r="I2" t="s">
        <v>50</v>
      </c>
    </row>
    <row r="3" spans="1:17" x14ac:dyDescent="0.25">
      <c r="A3" t="s">
        <v>12</v>
      </c>
      <c r="C3" t="s">
        <v>8</v>
      </c>
      <c r="F3" t="s">
        <v>48</v>
      </c>
      <c r="G3">
        <v>1</v>
      </c>
      <c r="H3">
        <v>0</v>
      </c>
      <c r="I3">
        <v>0</v>
      </c>
      <c r="K3" t="s">
        <v>53</v>
      </c>
      <c r="P3" t="s">
        <v>1935</v>
      </c>
      <c r="Q3">
        <v>1</v>
      </c>
    </row>
    <row r="4" spans="1:17" x14ac:dyDescent="0.25">
      <c r="A4" t="s">
        <v>13</v>
      </c>
      <c r="C4" t="s">
        <v>14</v>
      </c>
      <c r="F4" t="s">
        <v>49</v>
      </c>
      <c r="G4">
        <v>2</v>
      </c>
      <c r="H4">
        <v>1</v>
      </c>
      <c r="I4">
        <v>0</v>
      </c>
      <c r="K4" t="s">
        <v>56</v>
      </c>
      <c r="P4" t="s">
        <v>1936</v>
      </c>
      <c r="Q4">
        <v>2</v>
      </c>
    </row>
    <row r="5" spans="1:17" x14ac:dyDescent="0.25">
      <c r="C5" t="s">
        <v>9</v>
      </c>
      <c r="F5" t="s">
        <v>25</v>
      </c>
      <c r="G5">
        <v>3</v>
      </c>
      <c r="H5">
        <v>1</v>
      </c>
      <c r="I5">
        <v>0</v>
      </c>
      <c r="K5" t="s">
        <v>55</v>
      </c>
      <c r="P5" t="s">
        <v>1937</v>
      </c>
      <c r="Q5">
        <v>3</v>
      </c>
    </row>
    <row r="6" spans="1:17" x14ac:dyDescent="0.25">
      <c r="C6" t="s">
        <v>10</v>
      </c>
      <c r="F6" t="s">
        <v>26</v>
      </c>
      <c r="G6">
        <v>4</v>
      </c>
      <c r="H6">
        <v>1</v>
      </c>
      <c r="I6">
        <v>0</v>
      </c>
      <c r="K6" t="s">
        <v>54</v>
      </c>
      <c r="P6" t="s">
        <v>1938</v>
      </c>
      <c r="Q6">
        <v>4</v>
      </c>
    </row>
    <row r="7" spans="1:17" x14ac:dyDescent="0.25">
      <c r="C7" t="s">
        <v>11</v>
      </c>
      <c r="F7" t="s">
        <v>27</v>
      </c>
      <c r="G7">
        <v>5</v>
      </c>
      <c r="H7">
        <v>1</v>
      </c>
      <c r="I7">
        <v>0</v>
      </c>
      <c r="K7" t="s">
        <v>1903</v>
      </c>
    </row>
    <row r="8" spans="1:17" x14ac:dyDescent="0.25">
      <c r="C8" t="s">
        <v>15</v>
      </c>
      <c r="F8" t="s">
        <v>28</v>
      </c>
      <c r="G8">
        <v>6</v>
      </c>
      <c r="H8">
        <v>0</v>
      </c>
      <c r="I8">
        <v>0</v>
      </c>
    </row>
    <row r="9" spans="1:17" x14ac:dyDescent="0.25">
      <c r="C9" t="s">
        <v>16</v>
      </c>
      <c r="F9" t="s">
        <v>29</v>
      </c>
      <c r="G9">
        <v>7</v>
      </c>
      <c r="H9">
        <v>1</v>
      </c>
      <c r="I9">
        <v>0</v>
      </c>
      <c r="K9" t="s">
        <v>1988</v>
      </c>
    </row>
    <row r="10" spans="1:17" x14ac:dyDescent="0.25">
      <c r="C10" t="s">
        <v>17</v>
      </c>
      <c r="F10" t="s">
        <v>44</v>
      </c>
      <c r="G10">
        <v>8</v>
      </c>
      <c r="H10">
        <v>0</v>
      </c>
      <c r="I10">
        <v>0</v>
      </c>
    </row>
    <row r="11" spans="1:17" x14ac:dyDescent="0.25">
      <c r="C11" t="s">
        <v>46</v>
      </c>
      <c r="F11" t="s">
        <v>30</v>
      </c>
      <c r="G11">
        <v>9</v>
      </c>
      <c r="H11">
        <v>1</v>
      </c>
      <c r="I11">
        <v>0</v>
      </c>
      <c r="K11" t="s">
        <v>2011</v>
      </c>
      <c r="L11">
        <v>1</v>
      </c>
    </row>
    <row r="12" spans="1:17" x14ac:dyDescent="0.25">
      <c r="F12" t="s">
        <v>31</v>
      </c>
      <c r="G12">
        <v>10</v>
      </c>
      <c r="H12">
        <v>1</v>
      </c>
      <c r="I12">
        <v>0</v>
      </c>
      <c r="K12" t="s">
        <v>1989</v>
      </c>
      <c r="L12">
        <v>2</v>
      </c>
    </row>
    <row r="13" spans="1:17" x14ac:dyDescent="0.25">
      <c r="F13" t="s">
        <v>32</v>
      </c>
      <c r="G13">
        <v>11</v>
      </c>
      <c r="H13">
        <v>0</v>
      </c>
      <c r="I13">
        <v>0</v>
      </c>
      <c r="K13" t="s">
        <v>1995</v>
      </c>
      <c r="L13">
        <v>3</v>
      </c>
    </row>
    <row r="14" spans="1:17" x14ac:dyDescent="0.25">
      <c r="F14" t="s">
        <v>34</v>
      </c>
      <c r="G14">
        <v>12</v>
      </c>
      <c r="H14">
        <v>1</v>
      </c>
      <c r="I14">
        <v>0</v>
      </c>
    </row>
    <row r="15" spans="1:17" x14ac:dyDescent="0.25">
      <c r="A15" t="s">
        <v>1954</v>
      </c>
      <c r="F15" t="s">
        <v>35</v>
      </c>
      <c r="G15">
        <v>13</v>
      </c>
      <c r="H15">
        <v>1</v>
      </c>
      <c r="I15">
        <v>0</v>
      </c>
      <c r="K15" t="s">
        <v>1990</v>
      </c>
    </row>
    <row r="16" spans="1:17" x14ac:dyDescent="0.25">
      <c r="F16" t="s">
        <v>36</v>
      </c>
      <c r="G16">
        <v>14</v>
      </c>
      <c r="H16">
        <v>1</v>
      </c>
      <c r="I16">
        <v>0</v>
      </c>
      <c r="K16">
        <v>1</v>
      </c>
      <c r="L16" t="s">
        <v>2204</v>
      </c>
    </row>
    <row r="17" spans="1:12" x14ac:dyDescent="0.25">
      <c r="A17" t="s">
        <v>1974</v>
      </c>
      <c r="F17" t="s">
        <v>37</v>
      </c>
      <c r="G17">
        <v>15</v>
      </c>
      <c r="H17">
        <v>1</v>
      </c>
      <c r="I17">
        <v>0</v>
      </c>
      <c r="K17">
        <v>2</v>
      </c>
      <c r="L17" t="s">
        <v>2205</v>
      </c>
    </row>
    <row r="18" spans="1:12" x14ac:dyDescent="0.25">
      <c r="A18" t="s">
        <v>1955</v>
      </c>
      <c r="F18" t="s">
        <v>38</v>
      </c>
      <c r="G18">
        <v>16</v>
      </c>
      <c r="H18">
        <v>1</v>
      </c>
      <c r="I18">
        <v>0</v>
      </c>
      <c r="K18">
        <v>3</v>
      </c>
      <c r="L18" t="s">
        <v>2206</v>
      </c>
    </row>
    <row r="19" spans="1:12" x14ac:dyDescent="0.25">
      <c r="A19" t="s">
        <v>1956</v>
      </c>
      <c r="F19" t="s">
        <v>39</v>
      </c>
      <c r="G19">
        <v>17</v>
      </c>
      <c r="H19">
        <v>1</v>
      </c>
      <c r="I19">
        <v>0</v>
      </c>
    </row>
    <row r="20" spans="1:12" x14ac:dyDescent="0.25">
      <c r="A20" t="s">
        <v>1957</v>
      </c>
      <c r="F20" t="s">
        <v>40</v>
      </c>
      <c r="G20">
        <v>18</v>
      </c>
      <c r="H20">
        <v>1</v>
      </c>
      <c r="I20">
        <v>0</v>
      </c>
    </row>
    <row r="21" spans="1:12" x14ac:dyDescent="0.25">
      <c r="A21" t="s">
        <v>1958</v>
      </c>
      <c r="F21" t="s">
        <v>41</v>
      </c>
      <c r="G21">
        <v>19</v>
      </c>
      <c r="H21">
        <v>1</v>
      </c>
      <c r="I21">
        <v>0</v>
      </c>
      <c r="K21" t="s">
        <v>1991</v>
      </c>
    </row>
    <row r="22" spans="1:12" x14ac:dyDescent="0.25">
      <c r="A22" t="s">
        <v>1959</v>
      </c>
      <c r="F22" t="s">
        <v>42</v>
      </c>
      <c r="G22">
        <v>20</v>
      </c>
      <c r="H22">
        <v>1</v>
      </c>
      <c r="I22">
        <v>0</v>
      </c>
      <c r="K22">
        <v>1</v>
      </c>
      <c r="L22" t="s">
        <v>1994</v>
      </c>
    </row>
    <row r="23" spans="1:12" x14ac:dyDescent="0.25">
      <c r="F23" t="s">
        <v>43</v>
      </c>
      <c r="G23">
        <v>21</v>
      </c>
      <c r="H23">
        <v>1</v>
      </c>
      <c r="I23">
        <v>0</v>
      </c>
      <c r="K23">
        <v>2</v>
      </c>
      <c r="L23" t="s">
        <v>2207</v>
      </c>
    </row>
    <row r="24" spans="1:12" x14ac:dyDescent="0.25">
      <c r="A24" t="s">
        <v>1960</v>
      </c>
      <c r="F24" t="s">
        <v>33</v>
      </c>
      <c r="G24">
        <v>22</v>
      </c>
      <c r="H24">
        <v>1</v>
      </c>
      <c r="I24">
        <v>0</v>
      </c>
      <c r="K24">
        <v>3</v>
      </c>
      <c r="L24" t="s">
        <v>1994</v>
      </c>
    </row>
    <row r="25" spans="1:12" x14ac:dyDescent="0.25">
      <c r="F25" t="s">
        <v>57</v>
      </c>
      <c r="G25">
        <v>23</v>
      </c>
      <c r="H25">
        <v>1</v>
      </c>
      <c r="I25">
        <v>1</v>
      </c>
    </row>
    <row r="26" spans="1:12" x14ac:dyDescent="0.25">
      <c r="A26" t="s">
        <v>1961</v>
      </c>
      <c r="F26" t="s">
        <v>51</v>
      </c>
      <c r="G26">
        <v>24</v>
      </c>
      <c r="H26">
        <v>1</v>
      </c>
      <c r="I26">
        <v>1</v>
      </c>
    </row>
    <row r="27" spans="1:12" x14ac:dyDescent="0.25">
      <c r="A27" t="s">
        <v>1962</v>
      </c>
      <c r="K27" t="s">
        <v>1992</v>
      </c>
    </row>
    <row r="28" spans="1:12" x14ac:dyDescent="0.25">
      <c r="A28" t="s">
        <v>1963</v>
      </c>
      <c r="K28">
        <v>1</v>
      </c>
      <c r="L28" t="s">
        <v>1994</v>
      </c>
    </row>
    <row r="29" spans="1:12" x14ac:dyDescent="0.25">
      <c r="A29" t="s">
        <v>1964</v>
      </c>
      <c r="K29">
        <v>2</v>
      </c>
      <c r="L29" t="s">
        <v>2208</v>
      </c>
    </row>
    <row r="30" spans="1:12" x14ac:dyDescent="0.25">
      <c r="A30" t="s">
        <v>1965</v>
      </c>
      <c r="K30">
        <v>3</v>
      </c>
      <c r="L30" t="s">
        <v>1994</v>
      </c>
    </row>
    <row r="31" spans="1:12" x14ac:dyDescent="0.25">
      <c r="A31" t="s">
        <v>1966</v>
      </c>
    </row>
    <row r="32" spans="1:12" x14ac:dyDescent="0.25">
      <c r="A32" t="s">
        <v>1967</v>
      </c>
      <c r="K32" t="s">
        <v>1993</v>
      </c>
    </row>
    <row r="33" spans="1:12" x14ac:dyDescent="0.25">
      <c r="A33" t="s">
        <v>1968</v>
      </c>
      <c r="K33">
        <v>1</v>
      </c>
      <c r="L33" t="s">
        <v>1994</v>
      </c>
    </row>
    <row r="34" spans="1:12" x14ac:dyDescent="0.25">
      <c r="K34">
        <v>2</v>
      </c>
      <c r="L34" t="s">
        <v>2209</v>
      </c>
    </row>
    <row r="35" spans="1:12" x14ac:dyDescent="0.25">
      <c r="A35" t="s">
        <v>1969</v>
      </c>
      <c r="K35">
        <v>3</v>
      </c>
      <c r="L35" t="s">
        <v>1994</v>
      </c>
    </row>
    <row r="37" spans="1:12" x14ac:dyDescent="0.25">
      <c r="A37" t="s">
        <v>1971</v>
      </c>
      <c r="B37" s="93">
        <v>1</v>
      </c>
    </row>
    <row r="38" spans="1:12" x14ac:dyDescent="0.25">
      <c r="A38" t="s">
        <v>1972</v>
      </c>
      <c r="B38" s="93">
        <v>2</v>
      </c>
    </row>
    <row r="39" spans="1:12" x14ac:dyDescent="0.25">
      <c r="A39" t="s">
        <v>1973</v>
      </c>
      <c r="B39" s="93">
        <v>3</v>
      </c>
    </row>
    <row r="40" spans="1:12" x14ac:dyDescent="0.25">
      <c r="A40" t="s">
        <v>2170</v>
      </c>
      <c r="B40" s="93">
        <v>4</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tabColor rgb="FFFF0000"/>
  </sheetPr>
  <dimension ref="A1:H1833"/>
  <sheetViews>
    <sheetView topLeftCell="A421" workbookViewId="0">
      <selection activeCell="E393" sqref="E393"/>
    </sheetView>
  </sheetViews>
  <sheetFormatPr baseColWidth="10" defaultRowHeight="15" x14ac:dyDescent="0.25"/>
  <cols>
    <col min="1" max="1" width="50.85546875" customWidth="1"/>
    <col min="2" max="2" width="84.42578125" customWidth="1"/>
    <col min="3" max="3" width="15.140625" customWidth="1"/>
    <col min="4" max="4" width="9.7109375" style="42" customWidth="1"/>
  </cols>
  <sheetData>
    <row r="1" spans="1:1" x14ac:dyDescent="0.25">
      <c r="A1" s="32" t="s">
        <v>62</v>
      </c>
    </row>
    <row r="2" spans="1:1" x14ac:dyDescent="0.25">
      <c r="A2" t="s">
        <v>452</v>
      </c>
    </row>
    <row r="3" spans="1:1" x14ac:dyDescent="0.25">
      <c r="A3" t="s">
        <v>453</v>
      </c>
    </row>
    <row r="4" spans="1:1" x14ac:dyDescent="0.25">
      <c r="A4" t="s">
        <v>454</v>
      </c>
    </row>
    <row r="5" spans="1:1" x14ac:dyDescent="0.25">
      <c r="A5" t="s">
        <v>455</v>
      </c>
    </row>
    <row r="6" spans="1:1" x14ac:dyDescent="0.25">
      <c r="A6" t="s">
        <v>456</v>
      </c>
    </row>
    <row r="7" spans="1:1" x14ac:dyDescent="0.25">
      <c r="A7" t="s">
        <v>457</v>
      </c>
    </row>
    <row r="8" spans="1:1" x14ac:dyDescent="0.25">
      <c r="A8" t="s">
        <v>458</v>
      </c>
    </row>
    <row r="9" spans="1:1" x14ac:dyDescent="0.25">
      <c r="A9" t="s">
        <v>459</v>
      </c>
    </row>
    <row r="10" spans="1:1" x14ac:dyDescent="0.25">
      <c r="A10" t="s">
        <v>460</v>
      </c>
    </row>
    <row r="11" spans="1:1" x14ac:dyDescent="0.25">
      <c r="A11" t="s">
        <v>461</v>
      </c>
    </row>
    <row r="12" spans="1:1" x14ac:dyDescent="0.25">
      <c r="A12" t="s">
        <v>462</v>
      </c>
    </row>
    <row r="13" spans="1:1" x14ac:dyDescent="0.25">
      <c r="A13" t="s">
        <v>463</v>
      </c>
    </row>
    <row r="14" spans="1:1" x14ac:dyDescent="0.25">
      <c r="A14" t="s">
        <v>464</v>
      </c>
    </row>
    <row r="15" spans="1:1" x14ac:dyDescent="0.25">
      <c r="A15" t="s">
        <v>465</v>
      </c>
    </row>
    <row r="16" spans="1:1" x14ac:dyDescent="0.25">
      <c r="A16" t="s">
        <v>466</v>
      </c>
    </row>
    <row r="17" spans="1:5" x14ac:dyDescent="0.25">
      <c r="A17" t="s">
        <v>467</v>
      </c>
    </row>
    <row r="18" spans="1:5" x14ac:dyDescent="0.25">
      <c r="A18" t="s">
        <v>468</v>
      </c>
    </row>
    <row r="19" spans="1:5" x14ac:dyDescent="0.25">
      <c r="A19" t="s">
        <v>469</v>
      </c>
    </row>
    <row r="21" spans="1:5" x14ac:dyDescent="0.25">
      <c r="A21" s="33" t="s">
        <v>65</v>
      </c>
      <c r="B21" s="33">
        <f>Stammdaten!BG9</f>
        <v>0</v>
      </c>
      <c r="C21" s="33"/>
    </row>
    <row r="23" spans="1:5" x14ac:dyDescent="0.25">
      <c r="A23" t="s">
        <v>452</v>
      </c>
      <c r="B23" t="s">
        <v>366</v>
      </c>
      <c r="D23" s="42" t="e">
        <f t="array" ref="D23">_xlfn.AGGREGATE(15,6,ROW($A$23:$A$107)/(FIND($B$21,$A$23:$A$107,1)&gt;0),ROW()-22)</f>
        <v>#NUM!</v>
      </c>
      <c r="E23" t="str">
        <f>IFERROR(INDEX($A$23:$B$107,D23-22,2),"")</f>
        <v/>
      </c>
    </row>
    <row r="24" spans="1:5" x14ac:dyDescent="0.25">
      <c r="A24" t="s">
        <v>452</v>
      </c>
      <c r="B24" t="s">
        <v>367</v>
      </c>
      <c r="D24" s="42" t="e">
        <f t="array" ref="D24">_xlfn.AGGREGATE(15,6,ROW($A$23:$A$107)/(FIND($B$21,$A$23:$A$107,1)&gt;0),ROW()-22)</f>
        <v>#NUM!</v>
      </c>
      <c r="E24" t="str">
        <f t="array" ref="E24">IFERROR(INDEX($A$23:$B$107,D24-22,2),"")</f>
        <v/>
      </c>
    </row>
    <row r="25" spans="1:5" x14ac:dyDescent="0.25">
      <c r="A25" t="s">
        <v>452</v>
      </c>
      <c r="B25" t="s">
        <v>368</v>
      </c>
      <c r="D25" s="42" t="e">
        <f t="array" ref="D25">_xlfn.AGGREGATE(15,6,ROW($A$23:$A$107)/(FIND($B$21,$A$23:$A$107,1)&gt;0),ROW()-22)</f>
        <v>#NUM!</v>
      </c>
      <c r="E25" t="str">
        <f t="array" ref="E25">IFERROR(INDEX($A$23:$B$107,D25-22,2),"")</f>
        <v/>
      </c>
    </row>
    <row r="26" spans="1:5" x14ac:dyDescent="0.25">
      <c r="A26" t="s">
        <v>453</v>
      </c>
      <c r="B26" t="s">
        <v>369</v>
      </c>
      <c r="D26" s="42" t="e">
        <f t="array" ref="D26">_xlfn.AGGREGATE(15,6,ROW($A$23:$A$107)/(FIND($B$21,$A$23:$A$107,1)&gt;0),ROW()-22)</f>
        <v>#NUM!</v>
      </c>
      <c r="E26" t="str">
        <f t="array" ref="E26">IFERROR(INDEX($A$23:$B$107,D26-22,2),"")</f>
        <v/>
      </c>
    </row>
    <row r="27" spans="1:5" x14ac:dyDescent="0.25">
      <c r="A27" t="s">
        <v>453</v>
      </c>
      <c r="B27" t="s">
        <v>370</v>
      </c>
      <c r="D27" s="42" t="e">
        <f t="array" ref="D27">_xlfn.AGGREGATE(15,6,ROW($A$23:$A$107)/(FIND($B$21,$A$23:$A$107,1)&gt;0),ROW()-22)</f>
        <v>#NUM!</v>
      </c>
      <c r="E27" t="str">
        <f t="array" ref="E27">IFERROR(INDEX($A$23:$B$107,D27-22,2),"")</f>
        <v/>
      </c>
    </row>
    <row r="28" spans="1:5" x14ac:dyDescent="0.25">
      <c r="A28" t="s">
        <v>453</v>
      </c>
      <c r="B28" t="s">
        <v>371</v>
      </c>
      <c r="D28" s="42" t="e">
        <f t="array" ref="D28">_xlfn.AGGREGATE(15,6,ROW($A$23:$A$107)/(FIND($B$21,$A$23:$A$107,1)&gt;0),ROW()-22)</f>
        <v>#NUM!</v>
      </c>
      <c r="E28" t="str">
        <f t="array" ref="E28">IFERROR(INDEX($A$23:$B$107,D28-22,2),"")</f>
        <v/>
      </c>
    </row>
    <row r="29" spans="1:5" x14ac:dyDescent="0.25">
      <c r="A29" t="s">
        <v>453</v>
      </c>
      <c r="B29" t="s">
        <v>372</v>
      </c>
      <c r="D29" s="42" t="e">
        <f t="array" ref="D29">_xlfn.AGGREGATE(15,6,ROW($A$23:$A$107)/(FIND($B$21,$A$23:$A$107,1)&gt;0),ROW()-22)</f>
        <v>#NUM!</v>
      </c>
      <c r="E29" t="str">
        <f t="array" ref="E29">IFERROR(INDEX($A$23:$B$107,D29-22,2),"")</f>
        <v/>
      </c>
    </row>
    <row r="30" spans="1:5" x14ac:dyDescent="0.25">
      <c r="A30" t="s">
        <v>453</v>
      </c>
      <c r="B30" t="s">
        <v>373</v>
      </c>
      <c r="D30" s="42" t="e">
        <f t="array" ref="D30">_xlfn.AGGREGATE(15,6,ROW($A$23:$A$107)/(FIND($B$21,$A$23:$A$107,1)&gt;0),ROW()-22)</f>
        <v>#NUM!</v>
      </c>
      <c r="E30" t="str">
        <f>IFERROR(INDEX($A$23:$B$107,D30-22,2),"Bitte nach oben scrollen")</f>
        <v>Bitte nach oben scrollen</v>
      </c>
    </row>
    <row r="31" spans="1:5" x14ac:dyDescent="0.25">
      <c r="A31" t="s">
        <v>454</v>
      </c>
      <c r="B31" t="s">
        <v>374</v>
      </c>
      <c r="D31" s="42" t="e">
        <f t="array" ref="D31">_xlfn.AGGREGATE(15,6,ROW($A$23:$A$107)/(FIND($B$21,$A$23:$A$107,1)&gt;0),ROW()-22)</f>
        <v>#NUM!</v>
      </c>
      <c r="E31" t="str">
        <f t="array" ref="E31">IFERROR(INDEX($A$23:$B$107,D31-22,2),"")</f>
        <v/>
      </c>
    </row>
    <row r="32" spans="1:5" x14ac:dyDescent="0.25">
      <c r="A32" t="s">
        <v>454</v>
      </c>
      <c r="B32" t="s">
        <v>375</v>
      </c>
      <c r="D32" s="42" t="e">
        <f t="array" ref="D32">_xlfn.AGGREGATE(15,6,ROW($A$23:$A$107)/(FIND($B$21,$A$23:$A$107,1)&gt;0),ROW()-22)</f>
        <v>#NUM!</v>
      </c>
      <c r="E32" t="str">
        <f t="array" ref="E32">IFERROR(INDEX($A$23:$B$107,D32-22,2),"")</f>
        <v/>
      </c>
    </row>
    <row r="33" spans="1:5" x14ac:dyDescent="0.25">
      <c r="A33" t="s">
        <v>454</v>
      </c>
      <c r="B33" t="s">
        <v>376</v>
      </c>
      <c r="D33" s="42" t="e">
        <f t="array" ref="D33">_xlfn.AGGREGATE(15,6,ROW($A$23:$A$107)/(FIND($B$21,$A$23:$A$107,1)&gt;0),ROW()-22)</f>
        <v>#NUM!</v>
      </c>
      <c r="E33" t="str">
        <f>IFERROR(INDEX($A$23:$B$107,D33-22,2),"")</f>
        <v/>
      </c>
    </row>
    <row r="34" spans="1:5" x14ac:dyDescent="0.25">
      <c r="A34" t="s">
        <v>454</v>
      </c>
      <c r="B34" t="s">
        <v>377</v>
      </c>
      <c r="D34" s="42" t="e">
        <f t="array" ref="D34">_xlfn.AGGREGATE(15,6,ROW($A$23:$A$107)/(FIND($B$21,$A$23:$A$107,1)&gt;0),ROW()-22)</f>
        <v>#NUM!</v>
      </c>
      <c r="E34" t="str">
        <f t="array" ref="E34">IFERROR(INDEX($A$23:$B$107,D34-22,2),"")</f>
        <v/>
      </c>
    </row>
    <row r="35" spans="1:5" x14ac:dyDescent="0.25">
      <c r="A35" t="s">
        <v>454</v>
      </c>
      <c r="B35" t="s">
        <v>378</v>
      </c>
      <c r="D35" s="42" t="e">
        <f t="array" ref="D35">_xlfn.AGGREGATE(15,6,ROW($A$23:$A$107)/(FIND($B$21,$A$23:$A$107,1)&gt;0),ROW()-22)</f>
        <v>#NUM!</v>
      </c>
      <c r="E35" t="str">
        <f t="array" ref="E35">IFERROR(INDEX($A$23:$B$107,D35-22,2),"")</f>
        <v/>
      </c>
    </row>
    <row r="36" spans="1:5" x14ac:dyDescent="0.25">
      <c r="A36" t="s">
        <v>454</v>
      </c>
      <c r="B36" t="s">
        <v>379</v>
      </c>
      <c r="D36" s="42" t="e">
        <f t="array" ref="D36">_xlfn.AGGREGATE(15,6,ROW($A$23:$A$107)/(FIND($B$21,$A$23:$A$107,1)&gt;0),ROW()-22)</f>
        <v>#NUM!</v>
      </c>
      <c r="E36" t="str">
        <f t="array" ref="E36">IFERROR(INDEX($A$23:$B$107,D36-22,2),"")</f>
        <v/>
      </c>
    </row>
    <row r="37" spans="1:5" x14ac:dyDescent="0.25">
      <c r="A37" t="s">
        <v>454</v>
      </c>
      <c r="B37" t="s">
        <v>380</v>
      </c>
      <c r="D37" s="42" t="e">
        <f t="array" ref="D37">_xlfn.AGGREGATE(15,6,ROW($A$23:$A$107)/(FIND($B$21,$A$23:$A$107,1)&gt;0),ROW()-22)</f>
        <v>#NUM!</v>
      </c>
      <c r="E37" t="str">
        <f t="array" ref="E37">IFERROR(INDEX($A$23:$B$107,D37-22,2),"")</f>
        <v/>
      </c>
    </row>
    <row r="38" spans="1:5" x14ac:dyDescent="0.25">
      <c r="A38" t="s">
        <v>454</v>
      </c>
      <c r="B38" t="s">
        <v>381</v>
      </c>
      <c r="D38" s="42" t="e">
        <f t="array" ref="D38">_xlfn.AGGREGATE(15,6,ROW($A$23:$A$107)/(FIND($B$21,$A$23:$A$107,1)&gt;0),ROW()-22)</f>
        <v>#NUM!</v>
      </c>
      <c r="E38" t="str">
        <f t="array" ref="E38">IFERROR(INDEX($A$23:$B$107,D38-22,2),"")</f>
        <v/>
      </c>
    </row>
    <row r="39" spans="1:5" x14ac:dyDescent="0.25">
      <c r="A39" t="s">
        <v>454</v>
      </c>
      <c r="B39" t="s">
        <v>382</v>
      </c>
      <c r="D39" s="42" t="e">
        <f t="array" ref="D39">_xlfn.AGGREGATE(15,6,ROW($A$23:$A$107)/(FIND($B$21,$A$23:$A$107,1)&gt;0),ROW()-22)</f>
        <v>#NUM!</v>
      </c>
      <c r="E39" t="str">
        <f t="array" ref="E39">IFERROR(INDEX($A$23:$B$107,D39-22,2),"")</f>
        <v/>
      </c>
    </row>
    <row r="40" spans="1:5" x14ac:dyDescent="0.25">
      <c r="A40" t="s">
        <v>454</v>
      </c>
      <c r="B40" t="s">
        <v>383</v>
      </c>
      <c r="D40" s="42" t="e">
        <f t="array" ref="D40">_xlfn.AGGREGATE(15,6,ROW($A$23:$A$107)/(FIND($B$21,$A$23:$A$107,1)&gt;0),ROW()-22)</f>
        <v>#NUM!</v>
      </c>
      <c r="E40" t="str">
        <f t="array" ref="E40">IFERROR(INDEX($A$23:$B$107,D40-22,2),"")</f>
        <v/>
      </c>
    </row>
    <row r="41" spans="1:5" x14ac:dyDescent="0.25">
      <c r="A41" t="s">
        <v>454</v>
      </c>
      <c r="B41" t="s">
        <v>384</v>
      </c>
      <c r="D41" s="42" t="e">
        <f t="array" ref="D41">_xlfn.AGGREGATE(15,6,ROW($A$23:$A$107)/(FIND($B$21,$A$23:$A$107,1)&gt;0),ROW()-22)</f>
        <v>#NUM!</v>
      </c>
      <c r="E41" t="str">
        <f t="array" ref="E41">IFERROR(INDEX($A$23:$B$107,D41-22,2),"")</f>
        <v/>
      </c>
    </row>
    <row r="42" spans="1:5" x14ac:dyDescent="0.25">
      <c r="A42" t="s">
        <v>454</v>
      </c>
      <c r="B42" t="s">
        <v>385</v>
      </c>
      <c r="D42" s="42" t="e">
        <f t="array" ref="D42">_xlfn.AGGREGATE(15,6,ROW($A$23:$A$107)/(FIND($B$21,$A$23:$A$107,1)&gt;0),ROW()-22)</f>
        <v>#NUM!</v>
      </c>
      <c r="E42" t="str">
        <f t="array" ref="E42">IFERROR(INDEX($A$23:$B$107,D42-22,2),"")</f>
        <v/>
      </c>
    </row>
    <row r="43" spans="1:5" x14ac:dyDescent="0.25">
      <c r="A43" t="s">
        <v>454</v>
      </c>
      <c r="B43" t="s">
        <v>386</v>
      </c>
      <c r="D43" s="42" t="e">
        <f t="array" ref="D43">_xlfn.AGGREGATE(15,6,ROW($A$23:$A$107)/(FIND($B$21,$A$23:$A$107,1)&gt;0),ROW()-22)</f>
        <v>#NUM!</v>
      </c>
      <c r="E43" t="str">
        <f t="array" ref="E43">IFERROR(INDEX($A$23:$B$107,D43-22,2),"")</f>
        <v/>
      </c>
    </row>
    <row r="44" spans="1:5" x14ac:dyDescent="0.25">
      <c r="A44" t="s">
        <v>454</v>
      </c>
      <c r="B44" t="s">
        <v>387</v>
      </c>
      <c r="D44" s="42" t="e">
        <f t="array" ref="D44">_xlfn.AGGREGATE(15,6,ROW($A$23:$A$107)/(FIND($B$21,$A$23:$A$107,1)&gt;0),ROW()-22)</f>
        <v>#NUM!</v>
      </c>
      <c r="E44" t="str">
        <f t="array" ref="E44">IFERROR(INDEX($A$23:$B$107,D44-22,2),"")</f>
        <v/>
      </c>
    </row>
    <row r="45" spans="1:5" x14ac:dyDescent="0.25">
      <c r="A45" t="s">
        <v>454</v>
      </c>
      <c r="B45" t="s">
        <v>388</v>
      </c>
      <c r="D45" s="42" t="e">
        <f t="array" ref="D45">_xlfn.AGGREGATE(15,6,ROW($A$23:$A$107)/(FIND($B$21,$A$23:$A$107,1)&gt;0),ROW()-22)</f>
        <v>#NUM!</v>
      </c>
      <c r="E45" t="str">
        <f t="array" ref="E45">IFERROR(INDEX($A$23:$B$107,D45-22,2),"")</f>
        <v/>
      </c>
    </row>
    <row r="46" spans="1:5" x14ac:dyDescent="0.25">
      <c r="A46" t="s">
        <v>454</v>
      </c>
      <c r="B46" t="s">
        <v>389</v>
      </c>
      <c r="D46" s="42" t="e">
        <f t="array" ref="D46">_xlfn.AGGREGATE(15,6,ROW($A$23:$A$107)/(FIND($B$21,$A$23:$A$107,1)&gt;0),ROW()-22)</f>
        <v>#NUM!</v>
      </c>
      <c r="E46" t="str">
        <f t="array" ref="E46">IFERROR(INDEX($A$23:$B$107,D46-22,2),"")</f>
        <v/>
      </c>
    </row>
    <row r="47" spans="1:5" x14ac:dyDescent="0.25">
      <c r="A47" t="s">
        <v>454</v>
      </c>
      <c r="B47" t="s">
        <v>390</v>
      </c>
    </row>
    <row r="48" spans="1:5" x14ac:dyDescent="0.25">
      <c r="A48" t="s">
        <v>454</v>
      </c>
      <c r="B48" t="s">
        <v>391</v>
      </c>
    </row>
    <row r="49" spans="1:2" x14ac:dyDescent="0.25">
      <c r="A49" t="s">
        <v>454</v>
      </c>
      <c r="B49" t="s">
        <v>392</v>
      </c>
    </row>
    <row r="50" spans="1:2" x14ac:dyDescent="0.25">
      <c r="A50" t="s">
        <v>454</v>
      </c>
      <c r="B50" t="s">
        <v>393</v>
      </c>
    </row>
    <row r="51" spans="1:2" x14ac:dyDescent="0.25">
      <c r="A51" t="s">
        <v>454</v>
      </c>
      <c r="B51" t="s">
        <v>394</v>
      </c>
    </row>
    <row r="52" spans="1:2" x14ac:dyDescent="0.25">
      <c r="A52" t="s">
        <v>454</v>
      </c>
      <c r="B52" t="s">
        <v>395</v>
      </c>
    </row>
    <row r="53" spans="1:2" x14ac:dyDescent="0.25">
      <c r="A53" t="s">
        <v>454</v>
      </c>
      <c r="B53" t="s">
        <v>396</v>
      </c>
    </row>
    <row r="54" spans="1:2" x14ac:dyDescent="0.25">
      <c r="A54" t="s">
        <v>454</v>
      </c>
      <c r="B54" t="s">
        <v>397</v>
      </c>
    </row>
    <row r="55" spans="1:2" x14ac:dyDescent="0.25">
      <c r="A55" t="s">
        <v>455</v>
      </c>
      <c r="B55" t="s">
        <v>398</v>
      </c>
    </row>
    <row r="56" spans="1:2" x14ac:dyDescent="0.25">
      <c r="A56" t="s">
        <v>456</v>
      </c>
      <c r="B56" t="s">
        <v>399</v>
      </c>
    </row>
    <row r="57" spans="1:2" x14ac:dyDescent="0.25">
      <c r="A57" t="s">
        <v>456</v>
      </c>
      <c r="B57" t="s">
        <v>400</v>
      </c>
    </row>
    <row r="58" spans="1:2" x14ac:dyDescent="0.25">
      <c r="A58" t="s">
        <v>456</v>
      </c>
      <c r="B58" t="s">
        <v>401</v>
      </c>
    </row>
    <row r="59" spans="1:2" x14ac:dyDescent="0.25">
      <c r="A59" t="s">
        <v>456</v>
      </c>
      <c r="B59" t="s">
        <v>402</v>
      </c>
    </row>
    <row r="60" spans="1:2" x14ac:dyDescent="0.25">
      <c r="A60" t="s">
        <v>457</v>
      </c>
      <c r="B60" t="s">
        <v>403</v>
      </c>
    </row>
    <row r="61" spans="1:2" x14ac:dyDescent="0.25">
      <c r="A61" t="s">
        <v>457</v>
      </c>
      <c r="B61" t="s">
        <v>404</v>
      </c>
    </row>
    <row r="62" spans="1:2" x14ac:dyDescent="0.25">
      <c r="A62" t="s">
        <v>457</v>
      </c>
      <c r="B62" t="s">
        <v>405</v>
      </c>
    </row>
    <row r="63" spans="1:2" x14ac:dyDescent="0.25">
      <c r="A63" t="s">
        <v>458</v>
      </c>
      <c r="B63" t="s">
        <v>406</v>
      </c>
    </row>
    <row r="64" spans="1:2" x14ac:dyDescent="0.25">
      <c r="A64" t="s">
        <v>458</v>
      </c>
      <c r="B64" t="s">
        <v>407</v>
      </c>
    </row>
    <row r="65" spans="1:2" x14ac:dyDescent="0.25">
      <c r="A65" t="s">
        <v>458</v>
      </c>
      <c r="B65" t="s">
        <v>408</v>
      </c>
    </row>
    <row r="66" spans="1:2" x14ac:dyDescent="0.25">
      <c r="A66" t="s">
        <v>459</v>
      </c>
      <c r="B66" t="s">
        <v>409</v>
      </c>
    </row>
    <row r="67" spans="1:2" x14ac:dyDescent="0.25">
      <c r="A67" t="s">
        <v>459</v>
      </c>
      <c r="B67" t="s">
        <v>410</v>
      </c>
    </row>
    <row r="68" spans="1:2" x14ac:dyDescent="0.25">
      <c r="A68" t="s">
        <v>459</v>
      </c>
      <c r="B68" t="s">
        <v>411</v>
      </c>
    </row>
    <row r="69" spans="1:2" x14ac:dyDescent="0.25">
      <c r="A69" t="s">
        <v>459</v>
      </c>
      <c r="B69" t="s">
        <v>412</v>
      </c>
    </row>
    <row r="70" spans="1:2" x14ac:dyDescent="0.25">
      <c r="A70" t="s">
        <v>459</v>
      </c>
      <c r="B70" t="s">
        <v>413</v>
      </c>
    </row>
    <row r="71" spans="1:2" x14ac:dyDescent="0.25">
      <c r="A71" t="s">
        <v>460</v>
      </c>
      <c r="B71" t="s">
        <v>414</v>
      </c>
    </row>
    <row r="72" spans="1:2" x14ac:dyDescent="0.25">
      <c r="A72" t="s">
        <v>460</v>
      </c>
      <c r="B72" t="s">
        <v>415</v>
      </c>
    </row>
    <row r="73" spans="1:2" x14ac:dyDescent="0.25">
      <c r="A73" t="s">
        <v>461</v>
      </c>
      <c r="B73" t="s">
        <v>416</v>
      </c>
    </row>
    <row r="74" spans="1:2" x14ac:dyDescent="0.25">
      <c r="A74" t="s">
        <v>461</v>
      </c>
      <c r="B74" t="s">
        <v>417</v>
      </c>
    </row>
    <row r="75" spans="1:2" x14ac:dyDescent="0.25">
      <c r="A75" t="s">
        <v>461</v>
      </c>
      <c r="B75" t="s">
        <v>418</v>
      </c>
    </row>
    <row r="76" spans="1:2" x14ac:dyDescent="0.25">
      <c r="A76" t="s">
        <v>461</v>
      </c>
      <c r="B76" t="s">
        <v>419</v>
      </c>
    </row>
    <row r="77" spans="1:2" x14ac:dyDescent="0.25">
      <c r="A77" t="s">
        <v>461</v>
      </c>
      <c r="B77" t="s">
        <v>420</v>
      </c>
    </row>
    <row r="78" spans="1:2" x14ac:dyDescent="0.25">
      <c r="A78" t="s">
        <v>461</v>
      </c>
      <c r="B78" t="s">
        <v>421</v>
      </c>
    </row>
    <row r="79" spans="1:2" x14ac:dyDescent="0.25">
      <c r="A79" t="s">
        <v>462</v>
      </c>
      <c r="B79" t="s">
        <v>422</v>
      </c>
    </row>
    <row r="80" spans="1:2" x14ac:dyDescent="0.25">
      <c r="A80" t="s">
        <v>462</v>
      </c>
      <c r="B80" t="s">
        <v>423</v>
      </c>
    </row>
    <row r="81" spans="1:2" x14ac:dyDescent="0.25">
      <c r="A81" t="s">
        <v>462</v>
      </c>
      <c r="B81" t="s">
        <v>424</v>
      </c>
    </row>
    <row r="82" spans="1:2" x14ac:dyDescent="0.25">
      <c r="A82" t="s">
        <v>463</v>
      </c>
      <c r="B82" t="s">
        <v>425</v>
      </c>
    </row>
    <row r="83" spans="1:2" x14ac:dyDescent="0.25">
      <c r="A83" t="s">
        <v>464</v>
      </c>
      <c r="B83" t="s">
        <v>426</v>
      </c>
    </row>
    <row r="84" spans="1:2" x14ac:dyDescent="0.25">
      <c r="A84" t="s">
        <v>464</v>
      </c>
      <c r="B84" t="s">
        <v>427</v>
      </c>
    </row>
    <row r="85" spans="1:2" x14ac:dyDescent="0.25">
      <c r="A85" t="s">
        <v>464</v>
      </c>
      <c r="B85" t="s">
        <v>428</v>
      </c>
    </row>
    <row r="86" spans="1:2" x14ac:dyDescent="0.25">
      <c r="A86" t="s">
        <v>464</v>
      </c>
      <c r="B86" t="s">
        <v>429</v>
      </c>
    </row>
    <row r="87" spans="1:2" x14ac:dyDescent="0.25">
      <c r="A87" t="s">
        <v>464</v>
      </c>
      <c r="B87" t="s">
        <v>430</v>
      </c>
    </row>
    <row r="88" spans="1:2" x14ac:dyDescent="0.25">
      <c r="A88" t="s">
        <v>464</v>
      </c>
      <c r="B88" t="s">
        <v>431</v>
      </c>
    </row>
    <row r="89" spans="1:2" x14ac:dyDescent="0.25">
      <c r="A89" t="s">
        <v>465</v>
      </c>
      <c r="B89" t="s">
        <v>432</v>
      </c>
    </row>
    <row r="90" spans="1:2" x14ac:dyDescent="0.25">
      <c r="A90" t="s">
        <v>465</v>
      </c>
      <c r="B90" t="s">
        <v>433</v>
      </c>
    </row>
    <row r="91" spans="1:2" x14ac:dyDescent="0.25">
      <c r="A91" t="s">
        <v>465</v>
      </c>
      <c r="B91" t="s">
        <v>434</v>
      </c>
    </row>
    <row r="92" spans="1:2" x14ac:dyDescent="0.25">
      <c r="A92" t="s">
        <v>465</v>
      </c>
      <c r="B92" t="s">
        <v>435</v>
      </c>
    </row>
    <row r="93" spans="1:2" x14ac:dyDescent="0.25">
      <c r="A93" t="s">
        <v>465</v>
      </c>
      <c r="B93" t="s">
        <v>436</v>
      </c>
    </row>
    <row r="94" spans="1:2" x14ac:dyDescent="0.25">
      <c r="A94" t="s">
        <v>465</v>
      </c>
      <c r="B94" t="s">
        <v>437</v>
      </c>
    </row>
    <row r="95" spans="1:2" x14ac:dyDescent="0.25">
      <c r="A95" t="s">
        <v>465</v>
      </c>
      <c r="B95" t="s">
        <v>438</v>
      </c>
    </row>
    <row r="96" spans="1:2" x14ac:dyDescent="0.25">
      <c r="A96" t="s">
        <v>466</v>
      </c>
      <c r="B96" t="s">
        <v>440</v>
      </c>
    </row>
    <row r="97" spans="1:4" x14ac:dyDescent="0.25">
      <c r="A97" t="s">
        <v>467</v>
      </c>
      <c r="B97" t="s">
        <v>441</v>
      </c>
    </row>
    <row r="98" spans="1:4" x14ac:dyDescent="0.25">
      <c r="A98" t="s">
        <v>467</v>
      </c>
      <c r="B98" t="s">
        <v>442</v>
      </c>
    </row>
    <row r="99" spans="1:4" x14ac:dyDescent="0.25">
      <c r="A99" t="s">
        <v>467</v>
      </c>
      <c r="B99" t="s">
        <v>443</v>
      </c>
    </row>
    <row r="100" spans="1:4" x14ac:dyDescent="0.25">
      <c r="A100" t="s">
        <v>468</v>
      </c>
      <c r="B100" t="s">
        <v>444</v>
      </c>
    </row>
    <row r="101" spans="1:4" x14ac:dyDescent="0.25">
      <c r="A101" t="s">
        <v>468</v>
      </c>
      <c r="B101" t="s">
        <v>445</v>
      </c>
    </row>
    <row r="102" spans="1:4" x14ac:dyDescent="0.25">
      <c r="A102" t="s">
        <v>468</v>
      </c>
      <c r="B102" t="s">
        <v>446</v>
      </c>
    </row>
    <row r="103" spans="1:4" x14ac:dyDescent="0.25">
      <c r="A103" t="s">
        <v>468</v>
      </c>
      <c r="B103" t="s">
        <v>447</v>
      </c>
    </row>
    <row r="104" spans="1:4" x14ac:dyDescent="0.25">
      <c r="A104" t="s">
        <v>469</v>
      </c>
      <c r="B104" t="s">
        <v>448</v>
      </c>
    </row>
    <row r="105" spans="1:4" x14ac:dyDescent="0.25">
      <c r="A105" t="s">
        <v>469</v>
      </c>
      <c r="B105" t="s">
        <v>449</v>
      </c>
    </row>
    <row r="106" spans="1:4" x14ac:dyDescent="0.25">
      <c r="A106" t="s">
        <v>469</v>
      </c>
      <c r="B106" t="s">
        <v>450</v>
      </c>
    </row>
    <row r="107" spans="1:4" x14ac:dyDescent="0.25">
      <c r="A107" t="s">
        <v>59</v>
      </c>
      <c r="B107" t="s">
        <v>60</v>
      </c>
    </row>
    <row r="109" spans="1:4" x14ac:dyDescent="0.25">
      <c r="A109" s="33" t="s">
        <v>65</v>
      </c>
      <c r="B109" s="33" t="str">
        <f>IF(Stammdaten!I11="","",Stammdaten!I11)</f>
        <v/>
      </c>
    </row>
    <row r="112" spans="1:4" x14ac:dyDescent="0.25">
      <c r="A112" s="37" t="s">
        <v>73</v>
      </c>
      <c r="B112" s="38" t="s">
        <v>72</v>
      </c>
      <c r="C112" s="37"/>
      <c r="D112" s="37"/>
    </row>
    <row r="113" spans="1:5" x14ac:dyDescent="0.25">
      <c r="A113" s="39" t="s">
        <v>366</v>
      </c>
      <c r="B113" s="40" t="s">
        <v>74</v>
      </c>
      <c r="C113" s="39"/>
      <c r="D113" s="42" t="str">
        <f>IF($B$109="","",_xlfn.AGGREGATE(15,6,ROW($A$113:$A$381)/(FIND($B$109,$A$113:$A$381,1)&gt;0),ROW()-112))</f>
        <v/>
      </c>
      <c r="E113" t="str">
        <f>IFERROR(INDEX($A$113:$B$403,D113-112,2),"")</f>
        <v/>
      </c>
    </row>
    <row r="114" spans="1:5" x14ac:dyDescent="0.25">
      <c r="A114" s="39" t="s">
        <v>366</v>
      </c>
      <c r="B114" s="40" t="s">
        <v>101</v>
      </c>
      <c r="C114" s="39"/>
      <c r="D114" s="42" t="str">
        <f t="shared" ref="D114:D132" si="0">IF($B$109="","",_xlfn.AGGREGATE(15,6,ROW($A$113:$A$381)/(FIND($B$109,$A$113:$A$381,1)&gt;0),ROW()-112))</f>
        <v/>
      </c>
      <c r="E114" t="str">
        <f>IFERROR(INDEX($A$113:$B$403,D114-112,2),"")</f>
        <v/>
      </c>
    </row>
    <row r="115" spans="1:5" x14ac:dyDescent="0.25">
      <c r="A115" s="39" t="s">
        <v>366</v>
      </c>
      <c r="B115" s="40" t="s">
        <v>124</v>
      </c>
      <c r="C115" s="39"/>
      <c r="D115" s="42" t="str">
        <f t="shared" si="0"/>
        <v/>
      </c>
      <c r="E115" t="str">
        <f t="shared" ref="E115:E132" si="1">IFERROR(INDEX($A$113:$B$403,D115-112,2),"")</f>
        <v/>
      </c>
    </row>
    <row r="116" spans="1:5" x14ac:dyDescent="0.25">
      <c r="A116" s="39" t="s">
        <v>366</v>
      </c>
      <c r="B116" s="40" t="s">
        <v>138</v>
      </c>
      <c r="C116" s="39"/>
      <c r="D116" s="42" t="str">
        <f t="shared" si="0"/>
        <v/>
      </c>
      <c r="E116" t="str">
        <f t="shared" si="1"/>
        <v/>
      </c>
    </row>
    <row r="117" spans="1:5" x14ac:dyDescent="0.25">
      <c r="A117" s="39" t="s">
        <v>366</v>
      </c>
      <c r="B117" s="40" t="s">
        <v>149</v>
      </c>
      <c r="C117" s="39"/>
      <c r="D117" s="42" t="str">
        <f t="shared" si="0"/>
        <v/>
      </c>
      <c r="E117" t="str">
        <f t="shared" si="1"/>
        <v/>
      </c>
    </row>
    <row r="118" spans="1:5" x14ac:dyDescent="0.25">
      <c r="A118" s="39" t="s">
        <v>366</v>
      </c>
      <c r="B118" s="40" t="s">
        <v>157</v>
      </c>
      <c r="C118" s="39"/>
      <c r="D118" s="42" t="str">
        <f t="shared" si="0"/>
        <v/>
      </c>
      <c r="E118" t="str">
        <f t="shared" si="1"/>
        <v/>
      </c>
    </row>
    <row r="119" spans="1:5" x14ac:dyDescent="0.25">
      <c r="A119" s="39" t="s">
        <v>366</v>
      </c>
      <c r="B119" s="40" t="s">
        <v>163</v>
      </c>
      <c r="C119" s="39"/>
      <c r="D119" s="42" t="str">
        <f t="shared" si="0"/>
        <v/>
      </c>
      <c r="E119" t="str">
        <f t="shared" si="1"/>
        <v/>
      </c>
    </row>
    <row r="120" spans="1:5" x14ac:dyDescent="0.25">
      <c r="A120" s="39" t="s">
        <v>367</v>
      </c>
      <c r="B120" s="40" t="s">
        <v>75</v>
      </c>
      <c r="C120" s="39"/>
      <c r="D120" s="42" t="str">
        <f t="shared" si="0"/>
        <v/>
      </c>
      <c r="E120" t="str">
        <f>IFERROR(INDEX($A$113:$B$403,D120-112,2),"Bitte nach oben scrollen")</f>
        <v>Bitte nach oben scrollen</v>
      </c>
    </row>
    <row r="121" spans="1:5" x14ac:dyDescent="0.25">
      <c r="A121" s="39" t="s">
        <v>367</v>
      </c>
      <c r="B121" s="40" t="s">
        <v>102</v>
      </c>
      <c r="C121" s="39"/>
      <c r="D121" s="42" t="str">
        <f t="shared" si="0"/>
        <v/>
      </c>
      <c r="E121" t="str">
        <f t="shared" si="1"/>
        <v/>
      </c>
    </row>
    <row r="122" spans="1:5" x14ac:dyDescent="0.25">
      <c r="A122" s="39" t="s">
        <v>367</v>
      </c>
      <c r="B122" s="40" t="s">
        <v>125</v>
      </c>
      <c r="C122" s="39"/>
      <c r="D122" s="42" t="str">
        <f t="shared" si="0"/>
        <v/>
      </c>
      <c r="E122" t="str">
        <f t="shared" si="1"/>
        <v/>
      </c>
    </row>
    <row r="123" spans="1:5" x14ac:dyDescent="0.25">
      <c r="A123" s="39" t="s">
        <v>367</v>
      </c>
      <c r="B123" s="40" t="s">
        <v>139</v>
      </c>
      <c r="C123" s="39"/>
      <c r="D123" s="42" t="str">
        <f t="shared" si="0"/>
        <v/>
      </c>
      <c r="E123" t="str">
        <f t="shared" si="1"/>
        <v/>
      </c>
    </row>
    <row r="124" spans="1:5" x14ac:dyDescent="0.25">
      <c r="A124" s="39" t="s">
        <v>368</v>
      </c>
      <c r="B124" s="40" t="s">
        <v>76</v>
      </c>
      <c r="C124" s="39"/>
      <c r="D124" s="42" t="str">
        <f t="shared" si="0"/>
        <v/>
      </c>
      <c r="E124" t="str">
        <f t="shared" si="1"/>
        <v/>
      </c>
    </row>
    <row r="125" spans="1:5" x14ac:dyDescent="0.25">
      <c r="A125" s="39" t="s">
        <v>368</v>
      </c>
      <c r="B125" s="40" t="s">
        <v>103</v>
      </c>
      <c r="C125" s="39"/>
      <c r="D125" s="42" t="str">
        <f t="shared" si="0"/>
        <v/>
      </c>
      <c r="E125" t="str">
        <f t="shared" si="1"/>
        <v/>
      </c>
    </row>
    <row r="126" spans="1:5" x14ac:dyDescent="0.25">
      <c r="A126" s="39" t="s">
        <v>369</v>
      </c>
      <c r="B126" s="40" t="s">
        <v>77</v>
      </c>
      <c r="C126" s="39"/>
      <c r="D126" s="42" t="str">
        <f t="shared" si="0"/>
        <v/>
      </c>
      <c r="E126" t="str">
        <f t="shared" si="1"/>
        <v/>
      </c>
    </row>
    <row r="127" spans="1:5" x14ac:dyDescent="0.25">
      <c r="A127" s="39" t="s">
        <v>369</v>
      </c>
      <c r="B127" s="40" t="s">
        <v>104</v>
      </c>
      <c r="C127" s="39"/>
      <c r="D127" s="42" t="str">
        <f t="shared" si="0"/>
        <v/>
      </c>
      <c r="E127" t="str">
        <f t="shared" si="1"/>
        <v/>
      </c>
    </row>
    <row r="128" spans="1:5" x14ac:dyDescent="0.25">
      <c r="A128" s="39" t="s">
        <v>370</v>
      </c>
      <c r="B128" s="40" t="s">
        <v>78</v>
      </c>
      <c r="C128" s="39"/>
      <c r="D128" s="42" t="str">
        <f t="shared" si="0"/>
        <v/>
      </c>
      <c r="E128" t="str">
        <f t="shared" si="1"/>
        <v/>
      </c>
    </row>
    <row r="129" spans="1:5" x14ac:dyDescent="0.25">
      <c r="A129" s="39" t="s">
        <v>370</v>
      </c>
      <c r="B129" s="40" t="s">
        <v>105</v>
      </c>
      <c r="C129" s="39"/>
      <c r="D129" s="42" t="str">
        <f t="shared" si="0"/>
        <v/>
      </c>
      <c r="E129" t="str">
        <f t="shared" si="1"/>
        <v/>
      </c>
    </row>
    <row r="130" spans="1:5" x14ac:dyDescent="0.25">
      <c r="A130" s="39" t="s">
        <v>371</v>
      </c>
      <c r="B130" s="40" t="s">
        <v>79</v>
      </c>
      <c r="C130" s="39"/>
      <c r="D130" s="42" t="str">
        <f t="shared" si="0"/>
        <v/>
      </c>
      <c r="E130" t="str">
        <f t="shared" si="1"/>
        <v/>
      </c>
    </row>
    <row r="131" spans="1:5" x14ac:dyDescent="0.25">
      <c r="A131" s="39" t="s">
        <v>371</v>
      </c>
      <c r="B131" s="40" t="s">
        <v>106</v>
      </c>
      <c r="C131" s="39"/>
      <c r="D131" s="42" t="str">
        <f t="shared" si="0"/>
        <v/>
      </c>
      <c r="E131" t="str">
        <f t="shared" si="1"/>
        <v/>
      </c>
    </row>
    <row r="132" spans="1:5" x14ac:dyDescent="0.25">
      <c r="A132" s="39" t="s">
        <v>372</v>
      </c>
      <c r="B132" s="40" t="s">
        <v>80</v>
      </c>
      <c r="C132" s="39"/>
      <c r="D132" s="42" t="str">
        <f t="shared" si="0"/>
        <v/>
      </c>
      <c r="E132" t="str">
        <f t="shared" si="1"/>
        <v/>
      </c>
    </row>
    <row r="133" spans="1:5" x14ac:dyDescent="0.25">
      <c r="A133" s="39" t="s">
        <v>372</v>
      </c>
      <c r="B133" s="40" t="s">
        <v>170</v>
      </c>
      <c r="C133" s="39"/>
      <c r="E133" t="str">
        <f t="shared" ref="E133:E196" si="2">IFERROR(INDEX($A$113:$B$403,D133-112,2),"")</f>
        <v/>
      </c>
    </row>
    <row r="134" spans="1:5" ht="25.5" x14ac:dyDescent="0.25">
      <c r="A134" s="39" t="s">
        <v>373</v>
      </c>
      <c r="B134" s="40" t="s">
        <v>81</v>
      </c>
      <c r="C134" s="39"/>
      <c r="E134" t="str">
        <f t="shared" si="2"/>
        <v/>
      </c>
    </row>
    <row r="135" spans="1:5" ht="25.5" x14ac:dyDescent="0.25">
      <c r="A135" s="39" t="s">
        <v>373</v>
      </c>
      <c r="B135" s="40" t="s">
        <v>171</v>
      </c>
      <c r="C135" s="39"/>
      <c r="E135" t="str">
        <f t="shared" si="2"/>
        <v/>
      </c>
    </row>
    <row r="136" spans="1:5" x14ac:dyDescent="0.25">
      <c r="A136" s="39" t="s">
        <v>374</v>
      </c>
      <c r="B136" s="40" t="s">
        <v>82</v>
      </c>
      <c r="C136" s="39"/>
      <c r="E136" t="str">
        <f t="shared" si="2"/>
        <v/>
      </c>
    </row>
    <row r="137" spans="1:5" x14ac:dyDescent="0.25">
      <c r="A137" s="39" t="s">
        <v>374</v>
      </c>
      <c r="B137" s="40" t="s">
        <v>107</v>
      </c>
      <c r="C137" s="39"/>
      <c r="E137" t="str">
        <f t="shared" si="2"/>
        <v/>
      </c>
    </row>
    <row r="138" spans="1:5" x14ac:dyDescent="0.25">
      <c r="A138" s="39" t="s">
        <v>374</v>
      </c>
      <c r="B138" s="40" t="s">
        <v>126</v>
      </c>
      <c r="C138" s="39"/>
      <c r="E138" t="str">
        <f t="shared" si="2"/>
        <v/>
      </c>
    </row>
    <row r="139" spans="1:5" x14ac:dyDescent="0.25">
      <c r="A139" s="39" t="s">
        <v>374</v>
      </c>
      <c r="B139" s="40" t="s">
        <v>140</v>
      </c>
      <c r="C139" s="39"/>
      <c r="E139" t="str">
        <f t="shared" si="2"/>
        <v/>
      </c>
    </row>
    <row r="140" spans="1:5" x14ac:dyDescent="0.25">
      <c r="A140" s="39" t="s">
        <v>374</v>
      </c>
      <c r="B140" s="40" t="s">
        <v>150</v>
      </c>
      <c r="C140" s="39"/>
      <c r="E140" t="str">
        <f t="shared" si="2"/>
        <v/>
      </c>
    </row>
    <row r="141" spans="1:5" x14ac:dyDescent="0.25">
      <c r="A141" s="39" t="s">
        <v>374</v>
      </c>
      <c r="B141" s="40" t="s">
        <v>158</v>
      </c>
      <c r="C141" s="39"/>
      <c r="E141" t="str">
        <f t="shared" si="2"/>
        <v/>
      </c>
    </row>
    <row r="142" spans="1:5" x14ac:dyDescent="0.25">
      <c r="A142" s="39" t="s">
        <v>374</v>
      </c>
      <c r="B142" s="40" t="s">
        <v>164</v>
      </c>
      <c r="C142" s="39"/>
      <c r="E142" t="str">
        <f t="shared" si="2"/>
        <v/>
      </c>
    </row>
    <row r="143" spans="1:5" x14ac:dyDescent="0.25">
      <c r="A143" s="39" t="s">
        <v>374</v>
      </c>
      <c r="B143" s="40" t="s">
        <v>168</v>
      </c>
      <c r="C143" s="39"/>
      <c r="E143" t="str">
        <f t="shared" si="2"/>
        <v/>
      </c>
    </row>
    <row r="144" spans="1:5" x14ac:dyDescent="0.25">
      <c r="A144" s="39" t="s">
        <v>374</v>
      </c>
      <c r="B144" s="40" t="s">
        <v>172</v>
      </c>
      <c r="C144" s="39"/>
      <c r="E144" t="str">
        <f t="shared" si="2"/>
        <v/>
      </c>
    </row>
    <row r="145" spans="1:5" x14ac:dyDescent="0.25">
      <c r="A145" s="39" t="s">
        <v>375</v>
      </c>
      <c r="B145" s="40" t="s">
        <v>179</v>
      </c>
      <c r="C145" s="39"/>
      <c r="E145" t="str">
        <f t="shared" si="2"/>
        <v/>
      </c>
    </row>
    <row r="146" spans="1:5" x14ac:dyDescent="0.25">
      <c r="A146" s="39" t="s">
        <v>376</v>
      </c>
      <c r="B146" s="40" t="s">
        <v>180</v>
      </c>
      <c r="C146" s="39"/>
      <c r="E146" t="str">
        <f t="shared" si="2"/>
        <v/>
      </c>
    </row>
    <row r="147" spans="1:5" x14ac:dyDescent="0.25">
      <c r="A147" s="39" t="s">
        <v>377</v>
      </c>
      <c r="B147" s="40" t="s">
        <v>83</v>
      </c>
      <c r="C147" s="39"/>
      <c r="E147" t="str">
        <f t="shared" si="2"/>
        <v/>
      </c>
    </row>
    <row r="148" spans="1:5" x14ac:dyDescent="0.25">
      <c r="A148" s="39" t="s">
        <v>377</v>
      </c>
      <c r="B148" s="40" t="s">
        <v>108</v>
      </c>
      <c r="C148" s="39"/>
      <c r="E148" t="str">
        <f t="shared" si="2"/>
        <v/>
      </c>
    </row>
    <row r="149" spans="1:5" x14ac:dyDescent="0.25">
      <c r="A149" s="39" t="s">
        <v>377</v>
      </c>
      <c r="B149" s="40" t="s">
        <v>127</v>
      </c>
      <c r="C149" s="39"/>
      <c r="E149" t="str">
        <f t="shared" si="2"/>
        <v/>
      </c>
    </row>
    <row r="150" spans="1:5" x14ac:dyDescent="0.25">
      <c r="A150" s="39" t="s">
        <v>377</v>
      </c>
      <c r="B150" s="40" t="s">
        <v>173</v>
      </c>
      <c r="C150" s="39"/>
      <c r="E150" t="str">
        <f t="shared" si="2"/>
        <v/>
      </c>
    </row>
    <row r="151" spans="1:5" x14ac:dyDescent="0.25">
      <c r="A151" s="39" t="s">
        <v>378</v>
      </c>
      <c r="B151" s="40" t="s">
        <v>84</v>
      </c>
      <c r="C151" s="39"/>
      <c r="E151" t="str">
        <f t="shared" si="2"/>
        <v/>
      </c>
    </row>
    <row r="152" spans="1:5" x14ac:dyDescent="0.25">
      <c r="A152" s="39" t="s">
        <v>378</v>
      </c>
      <c r="B152" s="40" t="s">
        <v>109</v>
      </c>
      <c r="C152" s="39"/>
      <c r="E152" t="str">
        <f t="shared" si="2"/>
        <v/>
      </c>
    </row>
    <row r="153" spans="1:5" x14ac:dyDescent="0.25">
      <c r="A153" s="39" t="s">
        <v>378</v>
      </c>
      <c r="B153" s="40" t="s">
        <v>128</v>
      </c>
      <c r="C153" s="39"/>
      <c r="E153" t="str">
        <f t="shared" si="2"/>
        <v/>
      </c>
    </row>
    <row r="154" spans="1:5" x14ac:dyDescent="0.25">
      <c r="A154" s="39" t="s">
        <v>379</v>
      </c>
      <c r="B154" s="40" t="s">
        <v>85</v>
      </c>
      <c r="C154" s="39"/>
      <c r="E154" t="str">
        <f t="shared" si="2"/>
        <v/>
      </c>
    </row>
    <row r="155" spans="1:5" x14ac:dyDescent="0.25">
      <c r="A155" s="39" t="s">
        <v>379</v>
      </c>
      <c r="B155" s="40" t="s">
        <v>110</v>
      </c>
      <c r="C155" s="39"/>
      <c r="E155" t="str">
        <f t="shared" si="2"/>
        <v/>
      </c>
    </row>
    <row r="156" spans="1:5" ht="25.5" x14ac:dyDescent="0.25">
      <c r="A156" s="39" t="s">
        <v>380</v>
      </c>
      <c r="B156" s="40" t="s">
        <v>86</v>
      </c>
      <c r="C156" s="39"/>
      <c r="E156" t="str">
        <f t="shared" si="2"/>
        <v/>
      </c>
    </row>
    <row r="157" spans="1:5" ht="25.5" x14ac:dyDescent="0.25">
      <c r="A157" s="39" t="s">
        <v>380</v>
      </c>
      <c r="B157" s="40" t="s">
        <v>111</v>
      </c>
      <c r="C157" s="39"/>
      <c r="E157" t="str">
        <f t="shared" si="2"/>
        <v/>
      </c>
    </row>
    <row r="158" spans="1:5" x14ac:dyDescent="0.25">
      <c r="A158" s="39" t="s">
        <v>381</v>
      </c>
      <c r="B158" s="40" t="s">
        <v>87</v>
      </c>
      <c r="C158" s="39"/>
      <c r="E158" t="str">
        <f t="shared" si="2"/>
        <v/>
      </c>
    </row>
    <row r="159" spans="1:5" x14ac:dyDescent="0.25">
      <c r="A159" s="39" t="s">
        <v>381</v>
      </c>
      <c r="B159" s="40" t="s">
        <v>112</v>
      </c>
      <c r="C159" s="39"/>
      <c r="E159" t="str">
        <f t="shared" si="2"/>
        <v/>
      </c>
    </row>
    <row r="160" spans="1:5" ht="25.5" x14ac:dyDescent="0.25">
      <c r="A160" s="39" t="s">
        <v>382</v>
      </c>
      <c r="B160" s="40" t="s">
        <v>88</v>
      </c>
      <c r="C160" s="39"/>
      <c r="E160" t="str">
        <f t="shared" si="2"/>
        <v/>
      </c>
    </row>
    <row r="161" spans="1:5" ht="25.5" x14ac:dyDescent="0.25">
      <c r="A161" s="39" t="s">
        <v>382</v>
      </c>
      <c r="B161" s="40" t="s">
        <v>113</v>
      </c>
      <c r="C161" s="39"/>
      <c r="E161" t="str">
        <f t="shared" si="2"/>
        <v/>
      </c>
    </row>
    <row r="162" spans="1:5" x14ac:dyDescent="0.25">
      <c r="A162" s="39" t="s">
        <v>383</v>
      </c>
      <c r="B162" s="40" t="s">
        <v>89</v>
      </c>
      <c r="C162" s="39"/>
      <c r="E162" t="str">
        <f t="shared" si="2"/>
        <v/>
      </c>
    </row>
    <row r="163" spans="1:5" x14ac:dyDescent="0.25">
      <c r="A163" s="39" t="s">
        <v>383</v>
      </c>
      <c r="B163" s="40" t="s">
        <v>114</v>
      </c>
      <c r="C163" s="39"/>
      <c r="E163" t="str">
        <f t="shared" si="2"/>
        <v/>
      </c>
    </row>
    <row r="164" spans="1:5" x14ac:dyDescent="0.25">
      <c r="A164" s="39" t="s">
        <v>384</v>
      </c>
      <c r="B164" s="40" t="s">
        <v>90</v>
      </c>
      <c r="C164" s="39"/>
      <c r="E164" t="str">
        <f t="shared" si="2"/>
        <v/>
      </c>
    </row>
    <row r="165" spans="1:5" x14ac:dyDescent="0.25">
      <c r="A165" s="39" t="s">
        <v>384</v>
      </c>
      <c r="B165" s="40" t="s">
        <v>115</v>
      </c>
      <c r="C165" s="39"/>
      <c r="E165" t="str">
        <f t="shared" si="2"/>
        <v/>
      </c>
    </row>
    <row r="166" spans="1:5" x14ac:dyDescent="0.25">
      <c r="A166" s="39" t="s">
        <v>384</v>
      </c>
      <c r="B166" s="40" t="s">
        <v>129</v>
      </c>
      <c r="C166" s="39"/>
      <c r="E166" t="str">
        <f t="shared" si="2"/>
        <v/>
      </c>
    </row>
    <row r="167" spans="1:5" x14ac:dyDescent="0.25">
      <c r="A167" s="39" t="s">
        <v>384</v>
      </c>
      <c r="B167" s="40" t="s">
        <v>141</v>
      </c>
      <c r="C167" s="39"/>
      <c r="E167" t="str">
        <f t="shared" si="2"/>
        <v/>
      </c>
    </row>
    <row r="168" spans="1:5" x14ac:dyDescent="0.25">
      <c r="A168" s="39" t="s">
        <v>384</v>
      </c>
      <c r="B168" s="40" t="s">
        <v>151</v>
      </c>
      <c r="C168" s="39"/>
      <c r="E168" t="str">
        <f t="shared" si="2"/>
        <v/>
      </c>
    </row>
    <row r="169" spans="1:5" x14ac:dyDescent="0.25">
      <c r="A169" s="39" t="s">
        <v>384</v>
      </c>
      <c r="B169" s="40" t="s">
        <v>159</v>
      </c>
      <c r="C169" s="39"/>
      <c r="E169" t="str">
        <f t="shared" si="2"/>
        <v/>
      </c>
    </row>
    <row r="170" spans="1:5" x14ac:dyDescent="0.25">
      <c r="A170" s="39" t="s">
        <v>385</v>
      </c>
      <c r="B170" s="40" t="s">
        <v>91</v>
      </c>
      <c r="C170" s="39"/>
      <c r="E170" t="str">
        <f t="shared" si="2"/>
        <v/>
      </c>
    </row>
    <row r="171" spans="1:5" x14ac:dyDescent="0.25">
      <c r="A171" s="39" t="s">
        <v>385</v>
      </c>
      <c r="B171" s="40" t="s">
        <v>116</v>
      </c>
      <c r="C171" s="39"/>
      <c r="E171" t="str">
        <f t="shared" si="2"/>
        <v/>
      </c>
    </row>
    <row r="172" spans="1:5" x14ac:dyDescent="0.25">
      <c r="A172" s="39" t="s">
        <v>386</v>
      </c>
      <c r="B172" s="40" t="s">
        <v>92</v>
      </c>
      <c r="C172" s="39"/>
      <c r="E172" t="str">
        <f t="shared" si="2"/>
        <v/>
      </c>
    </row>
    <row r="173" spans="1:5" x14ac:dyDescent="0.25">
      <c r="A173" s="39" t="s">
        <v>386</v>
      </c>
      <c r="B173" s="40" t="s">
        <v>117</v>
      </c>
      <c r="C173" s="39"/>
      <c r="E173" t="str">
        <f t="shared" si="2"/>
        <v/>
      </c>
    </row>
    <row r="174" spans="1:5" ht="25.5" x14ac:dyDescent="0.25">
      <c r="A174" s="39" t="s">
        <v>387</v>
      </c>
      <c r="B174" s="40" t="s">
        <v>93</v>
      </c>
      <c r="C174" s="39"/>
      <c r="E174" t="str">
        <f t="shared" si="2"/>
        <v/>
      </c>
    </row>
    <row r="175" spans="1:5" ht="25.5" x14ac:dyDescent="0.25">
      <c r="A175" s="39" t="s">
        <v>387</v>
      </c>
      <c r="B175" s="40" t="s">
        <v>118</v>
      </c>
      <c r="C175" s="39"/>
      <c r="E175" t="str">
        <f t="shared" si="2"/>
        <v/>
      </c>
    </row>
    <row r="176" spans="1:5" ht="25.5" x14ac:dyDescent="0.25">
      <c r="A176" s="39" t="s">
        <v>387</v>
      </c>
      <c r="B176" s="40" t="s">
        <v>130</v>
      </c>
      <c r="C176" s="39"/>
      <c r="E176" t="str">
        <f t="shared" si="2"/>
        <v/>
      </c>
    </row>
    <row r="177" spans="1:5" ht="25.5" x14ac:dyDescent="0.25">
      <c r="A177" s="39" t="s">
        <v>387</v>
      </c>
      <c r="B177" s="40" t="s">
        <v>142</v>
      </c>
      <c r="C177" s="39"/>
      <c r="E177" t="str">
        <f t="shared" si="2"/>
        <v/>
      </c>
    </row>
    <row r="178" spans="1:5" ht="25.5" x14ac:dyDescent="0.25">
      <c r="A178" s="39" t="s">
        <v>387</v>
      </c>
      <c r="B178" s="40" t="s">
        <v>152</v>
      </c>
      <c r="C178" s="39"/>
      <c r="E178" t="str">
        <f t="shared" si="2"/>
        <v/>
      </c>
    </row>
    <row r="179" spans="1:5" ht="25.5" x14ac:dyDescent="0.25">
      <c r="A179" s="39" t="s">
        <v>387</v>
      </c>
      <c r="B179" s="40" t="s">
        <v>160</v>
      </c>
      <c r="C179" s="39"/>
      <c r="E179" t="str">
        <f t="shared" si="2"/>
        <v/>
      </c>
    </row>
    <row r="180" spans="1:5" ht="25.5" x14ac:dyDescent="0.25">
      <c r="A180" s="39" t="s">
        <v>387</v>
      </c>
      <c r="B180" s="40" t="s">
        <v>165</v>
      </c>
      <c r="C180" s="39"/>
      <c r="E180" t="str">
        <f t="shared" si="2"/>
        <v/>
      </c>
    </row>
    <row r="181" spans="1:5" ht="25.5" x14ac:dyDescent="0.25">
      <c r="A181" s="39" t="s">
        <v>387</v>
      </c>
      <c r="B181" s="40" t="s">
        <v>174</v>
      </c>
      <c r="C181" s="39"/>
      <c r="E181" t="str">
        <f t="shared" si="2"/>
        <v/>
      </c>
    </row>
    <row r="182" spans="1:5" x14ac:dyDescent="0.25">
      <c r="A182" s="39" t="s">
        <v>388</v>
      </c>
      <c r="B182" s="40" t="s">
        <v>94</v>
      </c>
      <c r="C182" s="39"/>
      <c r="E182" t="str">
        <f t="shared" si="2"/>
        <v/>
      </c>
    </row>
    <row r="183" spans="1:5" x14ac:dyDescent="0.25">
      <c r="A183" s="39" t="s">
        <v>388</v>
      </c>
      <c r="B183" s="40" t="s">
        <v>119</v>
      </c>
      <c r="C183" s="39"/>
      <c r="E183" t="str">
        <f t="shared" si="2"/>
        <v/>
      </c>
    </row>
    <row r="184" spans="1:5" x14ac:dyDescent="0.25">
      <c r="A184" s="39" t="s">
        <v>388</v>
      </c>
      <c r="B184" s="40" t="s">
        <v>131</v>
      </c>
      <c r="C184" s="39"/>
      <c r="E184" t="str">
        <f t="shared" si="2"/>
        <v/>
      </c>
    </row>
    <row r="185" spans="1:5" x14ac:dyDescent="0.25">
      <c r="A185" s="39" t="s">
        <v>388</v>
      </c>
      <c r="B185" s="40" t="s">
        <v>143</v>
      </c>
      <c r="C185" s="39"/>
      <c r="E185" t="str">
        <f t="shared" si="2"/>
        <v/>
      </c>
    </row>
    <row r="186" spans="1:5" x14ac:dyDescent="0.25">
      <c r="A186" s="39" t="s">
        <v>388</v>
      </c>
      <c r="B186" s="40" t="s">
        <v>153</v>
      </c>
      <c r="C186" s="39"/>
      <c r="E186" t="str">
        <f t="shared" si="2"/>
        <v/>
      </c>
    </row>
    <row r="187" spans="1:5" x14ac:dyDescent="0.25">
      <c r="A187" s="39" t="s">
        <v>389</v>
      </c>
      <c r="B187" s="40" t="s">
        <v>95</v>
      </c>
      <c r="C187" s="39"/>
      <c r="E187" t="str">
        <f t="shared" si="2"/>
        <v/>
      </c>
    </row>
    <row r="188" spans="1:5" x14ac:dyDescent="0.25">
      <c r="A188" s="39" t="s">
        <v>389</v>
      </c>
      <c r="B188" s="40" t="s">
        <v>120</v>
      </c>
      <c r="C188" s="39"/>
      <c r="E188" t="str">
        <f t="shared" si="2"/>
        <v/>
      </c>
    </row>
    <row r="189" spans="1:5" x14ac:dyDescent="0.25">
      <c r="A189" s="39" t="s">
        <v>389</v>
      </c>
      <c r="B189" s="40" t="s">
        <v>132</v>
      </c>
      <c r="C189" s="39"/>
      <c r="E189" t="str">
        <f t="shared" si="2"/>
        <v/>
      </c>
    </row>
    <row r="190" spans="1:5" x14ac:dyDescent="0.25">
      <c r="A190" s="39" t="s">
        <v>389</v>
      </c>
      <c r="B190" s="40" t="s">
        <v>144</v>
      </c>
      <c r="C190" s="39"/>
      <c r="E190" t="str">
        <f t="shared" si="2"/>
        <v/>
      </c>
    </row>
    <row r="191" spans="1:5" x14ac:dyDescent="0.25">
      <c r="A191" s="39" t="s">
        <v>389</v>
      </c>
      <c r="B191" s="40" t="s">
        <v>154</v>
      </c>
      <c r="C191" s="39"/>
      <c r="E191" t="str">
        <f t="shared" si="2"/>
        <v/>
      </c>
    </row>
    <row r="192" spans="1:5" x14ac:dyDescent="0.25">
      <c r="A192" s="39" t="s">
        <v>389</v>
      </c>
      <c r="B192" s="40" t="s">
        <v>161</v>
      </c>
      <c r="C192" s="39"/>
      <c r="E192" t="str">
        <f t="shared" si="2"/>
        <v/>
      </c>
    </row>
    <row r="193" spans="1:5" x14ac:dyDescent="0.25">
      <c r="A193" s="39" t="s">
        <v>389</v>
      </c>
      <c r="B193" s="40" t="s">
        <v>166</v>
      </c>
      <c r="C193" s="39"/>
      <c r="E193" t="str">
        <f t="shared" si="2"/>
        <v/>
      </c>
    </row>
    <row r="194" spans="1:5" x14ac:dyDescent="0.25">
      <c r="A194" s="39" t="s">
        <v>389</v>
      </c>
      <c r="B194" s="40" t="s">
        <v>175</v>
      </c>
      <c r="C194" s="39"/>
      <c r="E194" t="str">
        <f t="shared" si="2"/>
        <v/>
      </c>
    </row>
    <row r="195" spans="1:5" ht="25.5" x14ac:dyDescent="0.25">
      <c r="A195" s="39" t="s">
        <v>390</v>
      </c>
      <c r="B195" s="40" t="s">
        <v>96</v>
      </c>
      <c r="C195" s="39"/>
      <c r="E195" t="str">
        <f t="shared" si="2"/>
        <v/>
      </c>
    </row>
    <row r="196" spans="1:5" ht="25.5" x14ac:dyDescent="0.25">
      <c r="A196" s="39" t="s">
        <v>390</v>
      </c>
      <c r="B196" s="40" t="s">
        <v>121</v>
      </c>
      <c r="C196" s="39"/>
      <c r="E196" t="str">
        <f t="shared" si="2"/>
        <v/>
      </c>
    </row>
    <row r="197" spans="1:5" ht="25.5" x14ac:dyDescent="0.25">
      <c r="A197" s="39" t="s">
        <v>390</v>
      </c>
      <c r="B197" s="40" t="s">
        <v>133</v>
      </c>
      <c r="C197" s="39"/>
      <c r="E197" t="str">
        <f t="shared" ref="E197:E260" si="3">IFERROR(INDEX($A$113:$B$403,D197-112,2),"")</f>
        <v/>
      </c>
    </row>
    <row r="198" spans="1:5" ht="25.5" x14ac:dyDescent="0.25">
      <c r="A198" s="39" t="s">
        <v>390</v>
      </c>
      <c r="B198" s="40" t="s">
        <v>145</v>
      </c>
      <c r="C198" s="39"/>
      <c r="E198" t="str">
        <f t="shared" si="3"/>
        <v/>
      </c>
    </row>
    <row r="199" spans="1:5" ht="25.5" x14ac:dyDescent="0.25">
      <c r="A199" s="39" t="s">
        <v>390</v>
      </c>
      <c r="B199" s="40" t="s">
        <v>155</v>
      </c>
      <c r="C199" s="39"/>
      <c r="E199" t="str">
        <f t="shared" si="3"/>
        <v/>
      </c>
    </row>
    <row r="200" spans="1:5" ht="25.5" x14ac:dyDescent="0.25">
      <c r="A200" s="39" t="s">
        <v>390</v>
      </c>
      <c r="B200" s="40" t="s">
        <v>162</v>
      </c>
      <c r="C200" s="39"/>
      <c r="E200" t="str">
        <f t="shared" si="3"/>
        <v/>
      </c>
    </row>
    <row r="201" spans="1:5" ht="25.5" x14ac:dyDescent="0.25">
      <c r="A201" s="39" t="s">
        <v>390</v>
      </c>
      <c r="B201" s="40" t="s">
        <v>167</v>
      </c>
      <c r="C201" s="39"/>
      <c r="E201" t="str">
        <f t="shared" si="3"/>
        <v/>
      </c>
    </row>
    <row r="202" spans="1:5" ht="25.5" x14ac:dyDescent="0.25">
      <c r="A202" s="39" t="s">
        <v>390</v>
      </c>
      <c r="B202" s="40" t="s">
        <v>169</v>
      </c>
      <c r="C202" s="39"/>
      <c r="E202" t="str">
        <f t="shared" si="3"/>
        <v/>
      </c>
    </row>
    <row r="203" spans="1:5" x14ac:dyDescent="0.25">
      <c r="A203" s="39" t="s">
        <v>391</v>
      </c>
      <c r="B203" s="40" t="s">
        <v>97</v>
      </c>
      <c r="C203" s="39"/>
      <c r="E203" t="str">
        <f t="shared" si="3"/>
        <v/>
      </c>
    </row>
    <row r="204" spans="1:5" x14ac:dyDescent="0.25">
      <c r="A204" s="39" t="s">
        <v>391</v>
      </c>
      <c r="B204" s="40" t="s">
        <v>122</v>
      </c>
      <c r="C204" s="39"/>
      <c r="E204" t="str">
        <f t="shared" si="3"/>
        <v/>
      </c>
    </row>
    <row r="205" spans="1:5" x14ac:dyDescent="0.25">
      <c r="A205" s="39" t="s">
        <v>391</v>
      </c>
      <c r="B205" s="40" t="s">
        <v>134</v>
      </c>
      <c r="C205" s="39"/>
      <c r="E205" t="str">
        <f t="shared" si="3"/>
        <v/>
      </c>
    </row>
    <row r="206" spans="1:5" x14ac:dyDescent="0.25">
      <c r="A206" s="39" t="s">
        <v>391</v>
      </c>
      <c r="B206" s="40" t="s">
        <v>146</v>
      </c>
      <c r="C206" s="39"/>
      <c r="E206" t="str">
        <f t="shared" si="3"/>
        <v/>
      </c>
    </row>
    <row r="207" spans="1:5" x14ac:dyDescent="0.25">
      <c r="A207" s="39" t="s">
        <v>391</v>
      </c>
      <c r="B207" s="40" t="s">
        <v>156</v>
      </c>
      <c r="C207" s="39"/>
      <c r="E207" t="str">
        <f t="shared" si="3"/>
        <v/>
      </c>
    </row>
    <row r="208" spans="1:5" x14ac:dyDescent="0.25">
      <c r="A208" s="39" t="s">
        <v>391</v>
      </c>
      <c r="B208" s="40" t="s">
        <v>176</v>
      </c>
      <c r="C208" s="39"/>
      <c r="E208" t="str">
        <f t="shared" si="3"/>
        <v/>
      </c>
    </row>
    <row r="209" spans="1:5" x14ac:dyDescent="0.25">
      <c r="A209" s="39" t="s">
        <v>392</v>
      </c>
      <c r="B209" s="40" t="s">
        <v>98</v>
      </c>
      <c r="C209" s="39"/>
      <c r="E209" t="str">
        <f t="shared" si="3"/>
        <v/>
      </c>
    </row>
    <row r="210" spans="1:5" x14ac:dyDescent="0.25">
      <c r="A210" s="39" t="s">
        <v>392</v>
      </c>
      <c r="B210" s="40" t="s">
        <v>123</v>
      </c>
      <c r="C210" s="39"/>
      <c r="E210" t="str">
        <f t="shared" si="3"/>
        <v/>
      </c>
    </row>
    <row r="211" spans="1:5" x14ac:dyDescent="0.25">
      <c r="A211" s="39" t="s">
        <v>392</v>
      </c>
      <c r="B211" s="40" t="s">
        <v>135</v>
      </c>
      <c r="C211" s="39"/>
      <c r="E211" t="str">
        <f t="shared" si="3"/>
        <v/>
      </c>
    </row>
    <row r="212" spans="1:5" x14ac:dyDescent="0.25">
      <c r="A212" s="39" t="s">
        <v>392</v>
      </c>
      <c r="B212" s="40" t="s">
        <v>147</v>
      </c>
      <c r="C212" s="39"/>
      <c r="E212" t="str">
        <f t="shared" si="3"/>
        <v/>
      </c>
    </row>
    <row r="213" spans="1:5" x14ac:dyDescent="0.25">
      <c r="A213" s="39" t="s">
        <v>392</v>
      </c>
      <c r="B213" s="40" t="s">
        <v>177</v>
      </c>
      <c r="C213" s="39"/>
      <c r="E213" t="str">
        <f t="shared" si="3"/>
        <v/>
      </c>
    </row>
    <row r="214" spans="1:5" x14ac:dyDescent="0.25">
      <c r="A214" s="39" t="s">
        <v>393</v>
      </c>
      <c r="B214" s="40" t="s">
        <v>99</v>
      </c>
      <c r="C214" s="39"/>
      <c r="E214" t="str">
        <f t="shared" si="3"/>
        <v/>
      </c>
    </row>
    <row r="215" spans="1:5" x14ac:dyDescent="0.25">
      <c r="A215" s="39" t="s">
        <v>393</v>
      </c>
      <c r="B215" s="40" t="s">
        <v>181</v>
      </c>
      <c r="C215" s="39"/>
      <c r="E215" t="str">
        <f t="shared" si="3"/>
        <v/>
      </c>
    </row>
    <row r="216" spans="1:5" x14ac:dyDescent="0.25">
      <c r="A216" s="39" t="s">
        <v>393</v>
      </c>
      <c r="B216" s="40" t="s">
        <v>136</v>
      </c>
      <c r="C216" s="39"/>
      <c r="E216" t="str">
        <f t="shared" si="3"/>
        <v/>
      </c>
    </row>
    <row r="217" spans="1:5" x14ac:dyDescent="0.25">
      <c r="A217" s="39" t="s">
        <v>394</v>
      </c>
      <c r="B217" s="40" t="s">
        <v>100</v>
      </c>
      <c r="C217" s="39"/>
      <c r="E217" t="str">
        <f t="shared" si="3"/>
        <v/>
      </c>
    </row>
    <row r="218" spans="1:5" x14ac:dyDescent="0.25">
      <c r="A218" s="39" t="s">
        <v>394</v>
      </c>
      <c r="B218" s="40" t="s">
        <v>182</v>
      </c>
      <c r="C218" s="39"/>
      <c r="E218" t="str">
        <f t="shared" si="3"/>
        <v/>
      </c>
    </row>
    <row r="219" spans="1:5" x14ac:dyDescent="0.25">
      <c r="A219" s="39" t="s">
        <v>394</v>
      </c>
      <c r="B219" s="40" t="s">
        <v>137</v>
      </c>
      <c r="C219" s="39"/>
      <c r="E219" t="str">
        <f t="shared" si="3"/>
        <v/>
      </c>
    </row>
    <row r="220" spans="1:5" x14ac:dyDescent="0.25">
      <c r="A220" s="39" t="s">
        <v>394</v>
      </c>
      <c r="B220" s="40" t="s">
        <v>148</v>
      </c>
      <c r="C220" s="39"/>
      <c r="E220" t="str">
        <f t="shared" si="3"/>
        <v/>
      </c>
    </row>
    <row r="221" spans="1:5" x14ac:dyDescent="0.25">
      <c r="A221" s="39" t="s">
        <v>394</v>
      </c>
      <c r="B221" s="40" t="s">
        <v>178</v>
      </c>
      <c r="C221" s="39"/>
      <c r="E221" t="str">
        <f t="shared" si="3"/>
        <v/>
      </c>
    </row>
    <row r="222" spans="1:5" x14ac:dyDescent="0.25">
      <c r="A222" s="39" t="s">
        <v>395</v>
      </c>
      <c r="B222" s="40" t="s">
        <v>183</v>
      </c>
      <c r="C222" s="39"/>
      <c r="E222" t="str">
        <f t="shared" si="3"/>
        <v/>
      </c>
    </row>
    <row r="223" spans="1:5" x14ac:dyDescent="0.25">
      <c r="A223" s="39" t="s">
        <v>396</v>
      </c>
      <c r="B223" s="40" t="s">
        <v>184</v>
      </c>
      <c r="C223" s="39"/>
      <c r="E223" t="str">
        <f t="shared" si="3"/>
        <v/>
      </c>
    </row>
    <row r="224" spans="1:5" x14ac:dyDescent="0.25">
      <c r="A224" s="39" t="s">
        <v>396</v>
      </c>
      <c r="B224" s="40" t="s">
        <v>185</v>
      </c>
      <c r="C224" s="39"/>
      <c r="E224" t="str">
        <f t="shared" si="3"/>
        <v/>
      </c>
    </row>
    <row r="225" spans="1:5" x14ac:dyDescent="0.25">
      <c r="A225" s="39" t="s">
        <v>396</v>
      </c>
      <c r="B225" s="40" t="s">
        <v>186</v>
      </c>
      <c r="C225" s="39"/>
      <c r="E225" t="str">
        <f t="shared" si="3"/>
        <v/>
      </c>
    </row>
    <row r="226" spans="1:5" x14ac:dyDescent="0.25">
      <c r="A226" s="39" t="s">
        <v>396</v>
      </c>
      <c r="B226" s="40" t="s">
        <v>187</v>
      </c>
      <c r="C226" s="39"/>
      <c r="E226" t="str">
        <f t="shared" si="3"/>
        <v/>
      </c>
    </row>
    <row r="227" spans="1:5" x14ac:dyDescent="0.25">
      <c r="A227" s="39" t="s">
        <v>396</v>
      </c>
      <c r="B227" s="40" t="s">
        <v>188</v>
      </c>
      <c r="C227" s="39"/>
      <c r="E227" t="str">
        <f t="shared" si="3"/>
        <v/>
      </c>
    </row>
    <row r="228" spans="1:5" x14ac:dyDescent="0.25">
      <c r="A228" s="39" t="s">
        <v>396</v>
      </c>
      <c r="B228" s="40" t="s">
        <v>189</v>
      </c>
      <c r="C228" s="39"/>
      <c r="E228" t="str">
        <f t="shared" si="3"/>
        <v/>
      </c>
    </row>
    <row r="229" spans="1:5" ht="25.5" x14ac:dyDescent="0.25">
      <c r="A229" s="39" t="s">
        <v>397</v>
      </c>
      <c r="B229" s="40" t="s">
        <v>190</v>
      </c>
      <c r="C229" s="39"/>
      <c r="E229" t="str">
        <f t="shared" si="3"/>
        <v/>
      </c>
    </row>
    <row r="230" spans="1:5" ht="25.5" x14ac:dyDescent="0.25">
      <c r="A230" s="39" t="s">
        <v>397</v>
      </c>
      <c r="B230" s="40" t="s">
        <v>191</v>
      </c>
      <c r="C230" s="39"/>
      <c r="E230" t="str">
        <f t="shared" si="3"/>
        <v/>
      </c>
    </row>
    <row r="231" spans="1:5" x14ac:dyDescent="0.25">
      <c r="A231" s="39" t="s">
        <v>398</v>
      </c>
      <c r="B231" s="40" t="s">
        <v>192</v>
      </c>
      <c r="C231" s="39"/>
      <c r="E231" t="str">
        <f t="shared" si="3"/>
        <v/>
      </c>
    </row>
    <row r="232" spans="1:5" x14ac:dyDescent="0.25">
      <c r="A232" s="39" t="s">
        <v>398</v>
      </c>
      <c r="B232" s="40" t="s">
        <v>193</v>
      </c>
      <c r="C232" s="39"/>
      <c r="E232" t="str">
        <f t="shared" si="3"/>
        <v/>
      </c>
    </row>
    <row r="233" spans="1:5" x14ac:dyDescent="0.25">
      <c r="A233" s="39" t="s">
        <v>398</v>
      </c>
      <c r="B233" s="40" t="s">
        <v>194</v>
      </c>
      <c r="C233" s="39"/>
      <c r="E233" t="str">
        <f t="shared" si="3"/>
        <v/>
      </c>
    </row>
    <row r="234" spans="1:5" x14ac:dyDescent="0.25">
      <c r="A234" s="39" t="s">
        <v>399</v>
      </c>
      <c r="B234" s="40" t="s">
        <v>195</v>
      </c>
      <c r="C234" s="39"/>
      <c r="E234" t="str">
        <f t="shared" si="3"/>
        <v/>
      </c>
    </row>
    <row r="235" spans="1:5" x14ac:dyDescent="0.25">
      <c r="A235" s="39" t="s">
        <v>400</v>
      </c>
      <c r="B235" s="40" t="s">
        <v>196</v>
      </c>
      <c r="C235" s="39"/>
      <c r="E235" t="str">
        <f t="shared" si="3"/>
        <v/>
      </c>
    </row>
    <row r="236" spans="1:5" ht="25.5" x14ac:dyDescent="0.25">
      <c r="A236" s="39" t="s">
        <v>401</v>
      </c>
      <c r="B236" s="40" t="s">
        <v>197</v>
      </c>
      <c r="C236" s="39"/>
      <c r="E236" t="str">
        <f t="shared" si="3"/>
        <v/>
      </c>
    </row>
    <row r="237" spans="1:5" ht="25.5" x14ac:dyDescent="0.25">
      <c r="A237" s="39" t="s">
        <v>401</v>
      </c>
      <c r="B237" s="40" t="s">
        <v>198</v>
      </c>
      <c r="C237" s="39"/>
      <c r="E237" t="str">
        <f t="shared" si="3"/>
        <v/>
      </c>
    </row>
    <row r="238" spans="1:5" ht="25.5" x14ac:dyDescent="0.25">
      <c r="A238" s="39" t="s">
        <v>401</v>
      </c>
      <c r="B238" s="40" t="s">
        <v>199</v>
      </c>
      <c r="C238" s="39"/>
      <c r="E238" t="str">
        <f t="shared" si="3"/>
        <v/>
      </c>
    </row>
    <row r="239" spans="1:5" ht="25.5" x14ac:dyDescent="0.25">
      <c r="A239" s="39" t="s">
        <v>402</v>
      </c>
      <c r="B239" s="40" t="s">
        <v>200</v>
      </c>
      <c r="C239" s="39"/>
      <c r="E239" t="str">
        <f t="shared" si="3"/>
        <v/>
      </c>
    </row>
    <row r="240" spans="1:5" x14ac:dyDescent="0.25">
      <c r="A240" s="39" t="s">
        <v>403</v>
      </c>
      <c r="B240" s="40" t="s">
        <v>201</v>
      </c>
      <c r="C240" s="39"/>
      <c r="E240" t="str">
        <f t="shared" si="3"/>
        <v/>
      </c>
    </row>
    <row r="241" spans="1:5" x14ac:dyDescent="0.25">
      <c r="A241" s="39" t="s">
        <v>403</v>
      </c>
      <c r="B241" s="40" t="s">
        <v>202</v>
      </c>
      <c r="C241" s="39"/>
      <c r="E241" t="str">
        <f t="shared" si="3"/>
        <v/>
      </c>
    </row>
    <row r="242" spans="1:5" x14ac:dyDescent="0.25">
      <c r="A242" s="39" t="s">
        <v>404</v>
      </c>
      <c r="B242" s="40" t="s">
        <v>203</v>
      </c>
      <c r="C242" s="39"/>
      <c r="E242" t="str">
        <f t="shared" si="3"/>
        <v/>
      </c>
    </row>
    <row r="243" spans="1:5" x14ac:dyDescent="0.25">
      <c r="A243" s="39" t="s">
        <v>404</v>
      </c>
      <c r="B243" s="40" t="s">
        <v>204</v>
      </c>
      <c r="C243" s="39"/>
      <c r="E243" t="str">
        <f t="shared" si="3"/>
        <v/>
      </c>
    </row>
    <row r="244" spans="1:5" x14ac:dyDescent="0.25">
      <c r="A244" s="39" t="s">
        <v>404</v>
      </c>
      <c r="B244" s="40" t="s">
        <v>205</v>
      </c>
      <c r="C244" s="39"/>
      <c r="E244" t="str">
        <f t="shared" si="3"/>
        <v/>
      </c>
    </row>
    <row r="245" spans="1:5" ht="25.5" x14ac:dyDescent="0.25">
      <c r="A245" s="39" t="s">
        <v>405</v>
      </c>
      <c r="B245" s="40" t="s">
        <v>206</v>
      </c>
      <c r="C245" s="39"/>
      <c r="E245" t="str">
        <f t="shared" si="3"/>
        <v/>
      </c>
    </row>
    <row r="246" spans="1:5" ht="25.5" x14ac:dyDescent="0.25">
      <c r="A246" s="39" t="s">
        <v>405</v>
      </c>
      <c r="B246" s="40" t="s">
        <v>207</v>
      </c>
      <c r="C246" s="39"/>
      <c r="E246" t="str">
        <f t="shared" si="3"/>
        <v/>
      </c>
    </row>
    <row r="247" spans="1:5" ht="25.5" x14ac:dyDescent="0.25">
      <c r="A247" s="39" t="s">
        <v>405</v>
      </c>
      <c r="B247" s="40" t="s">
        <v>208</v>
      </c>
      <c r="C247" s="39"/>
      <c r="E247" t="str">
        <f t="shared" si="3"/>
        <v/>
      </c>
    </row>
    <row r="248" spans="1:5" ht="25.5" x14ac:dyDescent="0.25">
      <c r="A248" s="39" t="s">
        <v>405</v>
      </c>
      <c r="B248" s="40" t="s">
        <v>209</v>
      </c>
      <c r="C248" s="39"/>
      <c r="E248" t="str">
        <f t="shared" si="3"/>
        <v/>
      </c>
    </row>
    <row r="249" spans="1:5" ht="25.5" x14ac:dyDescent="0.25">
      <c r="A249" s="39" t="s">
        <v>406</v>
      </c>
      <c r="B249" s="40" t="s">
        <v>210</v>
      </c>
      <c r="C249" s="39"/>
      <c r="E249" t="str">
        <f t="shared" si="3"/>
        <v/>
      </c>
    </row>
    <row r="250" spans="1:5" ht="25.5" x14ac:dyDescent="0.25">
      <c r="A250" s="39" t="s">
        <v>406</v>
      </c>
      <c r="B250" s="40" t="s">
        <v>211</v>
      </c>
      <c r="C250" s="39"/>
      <c r="E250" t="str">
        <f t="shared" si="3"/>
        <v/>
      </c>
    </row>
    <row r="251" spans="1:5" ht="25.5" x14ac:dyDescent="0.25">
      <c r="A251" s="39" t="s">
        <v>406</v>
      </c>
      <c r="B251" s="40" t="s">
        <v>212</v>
      </c>
      <c r="C251" s="39"/>
      <c r="E251" t="str">
        <f t="shared" si="3"/>
        <v/>
      </c>
    </row>
    <row r="252" spans="1:5" ht="25.5" x14ac:dyDescent="0.25">
      <c r="A252" s="39" t="s">
        <v>406</v>
      </c>
      <c r="B252" s="40" t="s">
        <v>213</v>
      </c>
      <c r="C252" s="39"/>
      <c r="E252" t="str">
        <f t="shared" si="3"/>
        <v/>
      </c>
    </row>
    <row r="253" spans="1:5" x14ac:dyDescent="0.25">
      <c r="A253" s="39" t="s">
        <v>407</v>
      </c>
      <c r="B253" s="40" t="s">
        <v>214</v>
      </c>
      <c r="C253" s="39"/>
      <c r="E253" t="str">
        <f t="shared" si="3"/>
        <v/>
      </c>
    </row>
    <row r="254" spans="1:5" x14ac:dyDescent="0.25">
      <c r="A254" s="39" t="s">
        <v>407</v>
      </c>
      <c r="B254" s="40" t="s">
        <v>215</v>
      </c>
      <c r="C254" s="39"/>
      <c r="E254" t="str">
        <f t="shared" si="3"/>
        <v/>
      </c>
    </row>
    <row r="255" spans="1:5" x14ac:dyDescent="0.25">
      <c r="A255" s="39" t="s">
        <v>407</v>
      </c>
      <c r="B255" s="40" t="s">
        <v>216</v>
      </c>
      <c r="C255" s="39"/>
      <c r="E255" t="str">
        <f t="shared" si="3"/>
        <v/>
      </c>
    </row>
    <row r="256" spans="1:5" x14ac:dyDescent="0.25">
      <c r="A256" s="39" t="s">
        <v>407</v>
      </c>
      <c r="B256" s="40" t="s">
        <v>217</v>
      </c>
      <c r="C256" s="39"/>
      <c r="E256" t="str">
        <f t="shared" si="3"/>
        <v/>
      </c>
    </row>
    <row r="257" spans="1:5" x14ac:dyDescent="0.25">
      <c r="A257" s="39" t="s">
        <v>407</v>
      </c>
      <c r="B257" s="40" t="s">
        <v>218</v>
      </c>
      <c r="C257" s="39"/>
      <c r="E257" t="str">
        <f t="shared" si="3"/>
        <v/>
      </c>
    </row>
    <row r="258" spans="1:5" x14ac:dyDescent="0.25">
      <c r="A258" s="39" t="s">
        <v>407</v>
      </c>
      <c r="B258" s="40" t="s">
        <v>219</v>
      </c>
      <c r="C258" s="39"/>
      <c r="E258" t="str">
        <f t="shared" si="3"/>
        <v/>
      </c>
    </row>
    <row r="259" spans="1:5" x14ac:dyDescent="0.25">
      <c r="A259" s="39" t="s">
        <v>407</v>
      </c>
      <c r="B259" s="40" t="s">
        <v>220</v>
      </c>
      <c r="C259" s="39"/>
      <c r="E259" t="str">
        <f t="shared" si="3"/>
        <v/>
      </c>
    </row>
    <row r="260" spans="1:5" x14ac:dyDescent="0.25">
      <c r="A260" s="39" t="s">
        <v>407</v>
      </c>
      <c r="B260" s="40" t="s">
        <v>221</v>
      </c>
      <c r="C260" s="39"/>
      <c r="E260" t="str">
        <f t="shared" si="3"/>
        <v/>
      </c>
    </row>
    <row r="261" spans="1:5" x14ac:dyDescent="0.25">
      <c r="A261" s="39" t="s">
        <v>408</v>
      </c>
      <c r="B261" s="40" t="s">
        <v>222</v>
      </c>
      <c r="C261" s="39"/>
      <c r="E261" t="str">
        <f t="shared" ref="E261:E324" si="4">IFERROR(INDEX($A$113:$B$403,D261-112,2),"")</f>
        <v/>
      </c>
    </row>
    <row r="262" spans="1:5" x14ac:dyDescent="0.25">
      <c r="A262" s="39" t="s">
        <v>408</v>
      </c>
      <c r="B262" s="40" t="s">
        <v>223</v>
      </c>
      <c r="C262" s="39"/>
      <c r="E262" t="str">
        <f t="shared" si="4"/>
        <v/>
      </c>
    </row>
    <row r="263" spans="1:5" x14ac:dyDescent="0.25">
      <c r="A263" s="39" t="s">
        <v>408</v>
      </c>
      <c r="B263" s="40" t="s">
        <v>224</v>
      </c>
      <c r="C263" s="39"/>
      <c r="E263" t="str">
        <f t="shared" si="4"/>
        <v/>
      </c>
    </row>
    <row r="264" spans="1:5" x14ac:dyDescent="0.25">
      <c r="A264" s="39" t="s">
        <v>408</v>
      </c>
      <c r="B264" s="40" t="s">
        <v>225</v>
      </c>
      <c r="C264" s="39"/>
      <c r="E264" t="str">
        <f t="shared" si="4"/>
        <v/>
      </c>
    </row>
    <row r="265" spans="1:5" x14ac:dyDescent="0.25">
      <c r="A265" s="39" t="s">
        <v>408</v>
      </c>
      <c r="B265" s="40" t="s">
        <v>226</v>
      </c>
      <c r="C265" s="39"/>
      <c r="E265" t="str">
        <f t="shared" si="4"/>
        <v/>
      </c>
    </row>
    <row r="266" spans="1:5" x14ac:dyDescent="0.25">
      <c r="A266" s="39" t="s">
        <v>408</v>
      </c>
      <c r="B266" s="40" t="s">
        <v>227</v>
      </c>
      <c r="C266" s="39"/>
      <c r="E266" t="str">
        <f t="shared" si="4"/>
        <v/>
      </c>
    </row>
    <row r="267" spans="1:5" x14ac:dyDescent="0.25">
      <c r="A267" s="39" t="s">
        <v>408</v>
      </c>
      <c r="B267" s="40" t="s">
        <v>228</v>
      </c>
      <c r="C267" s="39"/>
      <c r="E267" t="str">
        <f t="shared" si="4"/>
        <v/>
      </c>
    </row>
    <row r="268" spans="1:5" x14ac:dyDescent="0.25">
      <c r="A268" s="39" t="s">
        <v>408</v>
      </c>
      <c r="B268" s="40" t="s">
        <v>229</v>
      </c>
      <c r="C268" s="39"/>
      <c r="E268" t="str">
        <f t="shared" si="4"/>
        <v/>
      </c>
    </row>
    <row r="269" spans="1:5" x14ac:dyDescent="0.25">
      <c r="A269" s="39" t="s">
        <v>408</v>
      </c>
      <c r="B269" s="40" t="s">
        <v>230</v>
      </c>
      <c r="C269" s="39"/>
      <c r="E269" t="str">
        <f t="shared" si="4"/>
        <v/>
      </c>
    </row>
    <row r="270" spans="1:5" x14ac:dyDescent="0.25">
      <c r="A270" s="39" t="s">
        <v>409</v>
      </c>
      <c r="B270" s="40" t="s">
        <v>231</v>
      </c>
      <c r="C270" s="39"/>
      <c r="E270" t="str">
        <f t="shared" si="4"/>
        <v/>
      </c>
    </row>
    <row r="271" spans="1:5" x14ac:dyDescent="0.25">
      <c r="A271" s="39" t="s">
        <v>409</v>
      </c>
      <c r="B271" s="40" t="s">
        <v>232</v>
      </c>
      <c r="C271" s="39"/>
      <c r="E271" t="str">
        <f t="shared" si="4"/>
        <v/>
      </c>
    </row>
    <row r="272" spans="1:5" x14ac:dyDescent="0.25">
      <c r="A272" s="39" t="s">
        <v>409</v>
      </c>
      <c r="B272" s="40" t="s">
        <v>233</v>
      </c>
      <c r="C272" s="39"/>
      <c r="E272" t="str">
        <f t="shared" si="4"/>
        <v/>
      </c>
    </row>
    <row r="273" spans="1:5" x14ac:dyDescent="0.25">
      <c r="A273" s="39" t="s">
        <v>409</v>
      </c>
      <c r="B273" s="40" t="s">
        <v>234</v>
      </c>
      <c r="C273" s="39"/>
      <c r="E273" t="str">
        <f t="shared" si="4"/>
        <v/>
      </c>
    </row>
    <row r="274" spans="1:5" x14ac:dyDescent="0.25">
      <c r="A274" s="39" t="s">
        <v>409</v>
      </c>
      <c r="B274" s="40" t="s">
        <v>235</v>
      </c>
      <c r="C274" s="39"/>
      <c r="E274" t="str">
        <f t="shared" si="4"/>
        <v/>
      </c>
    </row>
    <row r="275" spans="1:5" x14ac:dyDescent="0.25">
      <c r="A275" s="39" t="s">
        <v>410</v>
      </c>
      <c r="B275" s="40" t="s">
        <v>236</v>
      </c>
      <c r="C275" s="39"/>
      <c r="E275" t="str">
        <f t="shared" si="4"/>
        <v/>
      </c>
    </row>
    <row r="276" spans="1:5" x14ac:dyDescent="0.25">
      <c r="A276" s="39" t="s">
        <v>410</v>
      </c>
      <c r="B276" s="40" t="s">
        <v>237</v>
      </c>
      <c r="C276" s="39"/>
      <c r="E276" t="str">
        <f t="shared" si="4"/>
        <v/>
      </c>
    </row>
    <row r="277" spans="1:5" x14ac:dyDescent="0.25">
      <c r="A277" s="39" t="s">
        <v>410</v>
      </c>
      <c r="B277" s="40" t="s">
        <v>238</v>
      </c>
      <c r="C277" s="39"/>
      <c r="E277" t="str">
        <f t="shared" si="4"/>
        <v/>
      </c>
    </row>
    <row r="278" spans="1:5" x14ac:dyDescent="0.25">
      <c r="A278" s="39" t="s">
        <v>410</v>
      </c>
      <c r="B278" s="40" t="s">
        <v>239</v>
      </c>
      <c r="C278" s="39"/>
      <c r="E278" t="str">
        <f t="shared" si="4"/>
        <v/>
      </c>
    </row>
    <row r="279" spans="1:5" x14ac:dyDescent="0.25">
      <c r="A279" s="39" t="s">
        <v>411</v>
      </c>
      <c r="B279" s="40" t="s">
        <v>240</v>
      </c>
      <c r="C279" s="39"/>
      <c r="E279" t="str">
        <f t="shared" si="4"/>
        <v/>
      </c>
    </row>
    <row r="280" spans="1:5" x14ac:dyDescent="0.25">
      <c r="A280" s="39" t="s">
        <v>411</v>
      </c>
      <c r="B280" s="40" t="s">
        <v>241</v>
      </c>
      <c r="C280" s="39"/>
      <c r="E280" t="str">
        <f t="shared" si="4"/>
        <v/>
      </c>
    </row>
    <row r="281" spans="1:5" ht="25.5" x14ac:dyDescent="0.25">
      <c r="A281" s="39" t="s">
        <v>412</v>
      </c>
      <c r="B281" s="40" t="s">
        <v>242</v>
      </c>
      <c r="C281" s="39"/>
      <c r="E281" t="str">
        <f t="shared" si="4"/>
        <v/>
      </c>
    </row>
    <row r="282" spans="1:5" ht="25.5" x14ac:dyDescent="0.25">
      <c r="A282" s="39" t="s">
        <v>412</v>
      </c>
      <c r="B282" s="40" t="s">
        <v>243</v>
      </c>
      <c r="C282" s="39"/>
      <c r="E282" t="str">
        <f t="shared" si="4"/>
        <v/>
      </c>
    </row>
    <row r="283" spans="1:5" x14ac:dyDescent="0.25">
      <c r="A283" s="39" t="s">
        <v>413</v>
      </c>
      <c r="B283" s="40" t="s">
        <v>244</v>
      </c>
      <c r="C283" s="39"/>
      <c r="E283" t="str">
        <f t="shared" si="4"/>
        <v/>
      </c>
    </row>
    <row r="284" spans="1:5" x14ac:dyDescent="0.25">
      <c r="A284" s="39" t="s">
        <v>413</v>
      </c>
      <c r="B284" s="40" t="s">
        <v>245</v>
      </c>
      <c r="C284" s="39"/>
      <c r="E284" t="str">
        <f t="shared" si="4"/>
        <v/>
      </c>
    </row>
    <row r="285" spans="1:5" x14ac:dyDescent="0.25">
      <c r="A285" s="39" t="s">
        <v>414</v>
      </c>
      <c r="B285" s="40" t="s">
        <v>246</v>
      </c>
      <c r="C285" s="39"/>
      <c r="E285" t="str">
        <f t="shared" si="4"/>
        <v/>
      </c>
    </row>
    <row r="286" spans="1:5" x14ac:dyDescent="0.25">
      <c r="A286" s="39" t="s">
        <v>414</v>
      </c>
      <c r="B286" s="40" t="s">
        <v>247</v>
      </c>
      <c r="C286" s="39"/>
      <c r="E286" t="str">
        <f t="shared" si="4"/>
        <v/>
      </c>
    </row>
    <row r="287" spans="1:5" x14ac:dyDescent="0.25">
      <c r="A287" s="39" t="s">
        <v>414</v>
      </c>
      <c r="B287" s="40" t="s">
        <v>248</v>
      </c>
      <c r="C287" s="39"/>
      <c r="E287" t="str">
        <f t="shared" si="4"/>
        <v/>
      </c>
    </row>
    <row r="288" spans="1:5" x14ac:dyDescent="0.25">
      <c r="A288" s="39" t="s">
        <v>414</v>
      </c>
      <c r="B288" s="40" t="s">
        <v>249</v>
      </c>
      <c r="C288" s="39"/>
      <c r="E288" t="str">
        <f t="shared" si="4"/>
        <v/>
      </c>
    </row>
    <row r="289" spans="1:5" x14ac:dyDescent="0.25">
      <c r="A289" s="39" t="s">
        <v>415</v>
      </c>
      <c r="B289" s="40" t="s">
        <v>250</v>
      </c>
      <c r="C289" s="39"/>
      <c r="E289" t="str">
        <f t="shared" si="4"/>
        <v/>
      </c>
    </row>
    <row r="290" spans="1:5" x14ac:dyDescent="0.25">
      <c r="A290" s="39" t="s">
        <v>415</v>
      </c>
      <c r="B290" s="40" t="s">
        <v>251</v>
      </c>
      <c r="C290" s="39"/>
      <c r="E290" t="str">
        <f t="shared" si="4"/>
        <v/>
      </c>
    </row>
    <row r="291" spans="1:5" x14ac:dyDescent="0.25">
      <c r="A291" s="39" t="s">
        <v>415</v>
      </c>
      <c r="B291" s="40" t="s">
        <v>252</v>
      </c>
      <c r="C291" s="39"/>
      <c r="E291" t="str">
        <f t="shared" si="4"/>
        <v/>
      </c>
    </row>
    <row r="292" spans="1:5" x14ac:dyDescent="0.25">
      <c r="A292" s="39" t="s">
        <v>416</v>
      </c>
      <c r="B292" s="40" t="s">
        <v>253</v>
      </c>
      <c r="C292" s="39"/>
      <c r="E292" t="str">
        <f t="shared" si="4"/>
        <v/>
      </c>
    </row>
    <row r="293" spans="1:5" x14ac:dyDescent="0.25">
      <c r="A293" s="39" t="s">
        <v>416</v>
      </c>
      <c r="B293" s="40" t="s">
        <v>254</v>
      </c>
      <c r="C293" s="39"/>
      <c r="E293" t="str">
        <f t="shared" si="4"/>
        <v/>
      </c>
    </row>
    <row r="294" spans="1:5" ht="38.25" x14ac:dyDescent="0.25">
      <c r="A294" s="39" t="s">
        <v>417</v>
      </c>
      <c r="B294" s="40" t="s">
        <v>255</v>
      </c>
      <c r="C294" s="39"/>
      <c r="E294" t="str">
        <f t="shared" si="4"/>
        <v/>
      </c>
    </row>
    <row r="295" spans="1:5" ht="38.25" x14ac:dyDescent="0.25">
      <c r="A295" s="39" t="s">
        <v>417</v>
      </c>
      <c r="B295" s="40" t="s">
        <v>256</v>
      </c>
      <c r="C295" s="39"/>
      <c r="E295" t="str">
        <f t="shared" si="4"/>
        <v/>
      </c>
    </row>
    <row r="296" spans="1:5" x14ac:dyDescent="0.25">
      <c r="A296" s="39" t="s">
        <v>418</v>
      </c>
      <c r="B296" s="40" t="s">
        <v>257</v>
      </c>
      <c r="C296" s="39"/>
      <c r="E296" t="str">
        <f t="shared" si="4"/>
        <v/>
      </c>
    </row>
    <row r="297" spans="1:5" x14ac:dyDescent="0.25">
      <c r="A297" s="39" t="s">
        <v>418</v>
      </c>
      <c r="B297" s="40" t="s">
        <v>258</v>
      </c>
      <c r="C297" s="39"/>
      <c r="E297" t="str">
        <f t="shared" si="4"/>
        <v/>
      </c>
    </row>
    <row r="298" spans="1:5" x14ac:dyDescent="0.25">
      <c r="A298" s="39" t="s">
        <v>419</v>
      </c>
      <c r="B298" s="40" t="s">
        <v>259</v>
      </c>
      <c r="C298" s="39"/>
      <c r="E298" t="str">
        <f t="shared" si="4"/>
        <v/>
      </c>
    </row>
    <row r="299" spans="1:5" x14ac:dyDescent="0.25">
      <c r="A299" s="39" t="s">
        <v>419</v>
      </c>
      <c r="B299" s="40" t="s">
        <v>260</v>
      </c>
      <c r="C299" s="39"/>
      <c r="E299" t="str">
        <f t="shared" si="4"/>
        <v/>
      </c>
    </row>
    <row r="300" spans="1:5" x14ac:dyDescent="0.25">
      <c r="A300" s="39" t="s">
        <v>419</v>
      </c>
      <c r="B300" s="40" t="s">
        <v>261</v>
      </c>
      <c r="C300" s="39"/>
      <c r="E300" t="str">
        <f t="shared" si="4"/>
        <v/>
      </c>
    </row>
    <row r="301" spans="1:5" x14ac:dyDescent="0.25">
      <c r="A301" s="39" t="s">
        <v>419</v>
      </c>
      <c r="B301" s="40" t="s">
        <v>262</v>
      </c>
      <c r="C301" s="39"/>
      <c r="E301" t="str">
        <f t="shared" si="4"/>
        <v/>
      </c>
    </row>
    <row r="302" spans="1:5" ht="25.5" x14ac:dyDescent="0.25">
      <c r="A302" s="39" t="s">
        <v>420</v>
      </c>
      <c r="B302" s="40" t="s">
        <v>263</v>
      </c>
      <c r="C302" s="39"/>
      <c r="E302" t="str">
        <f t="shared" si="4"/>
        <v/>
      </c>
    </row>
    <row r="303" spans="1:5" x14ac:dyDescent="0.25">
      <c r="A303" s="39" t="s">
        <v>421</v>
      </c>
      <c r="B303" s="40" t="s">
        <v>264</v>
      </c>
      <c r="C303" s="39"/>
      <c r="E303" t="str">
        <f t="shared" si="4"/>
        <v/>
      </c>
    </row>
    <row r="304" spans="1:5" x14ac:dyDescent="0.25">
      <c r="A304" s="39" t="s">
        <v>421</v>
      </c>
      <c r="B304" s="40" t="s">
        <v>265</v>
      </c>
      <c r="C304" s="39"/>
      <c r="E304" t="str">
        <f t="shared" si="4"/>
        <v/>
      </c>
    </row>
    <row r="305" spans="1:5" x14ac:dyDescent="0.25">
      <c r="A305" s="39" t="s">
        <v>422</v>
      </c>
      <c r="B305" s="40" t="s">
        <v>266</v>
      </c>
      <c r="C305" s="39"/>
      <c r="E305" t="str">
        <f t="shared" si="4"/>
        <v/>
      </c>
    </row>
    <row r="306" spans="1:5" x14ac:dyDescent="0.25">
      <c r="A306" s="39" t="s">
        <v>422</v>
      </c>
      <c r="B306" s="40" t="s">
        <v>267</v>
      </c>
      <c r="C306" s="39"/>
      <c r="E306" t="str">
        <f t="shared" si="4"/>
        <v/>
      </c>
    </row>
    <row r="307" spans="1:5" x14ac:dyDescent="0.25">
      <c r="A307" s="39" t="s">
        <v>422</v>
      </c>
      <c r="B307" s="40" t="s">
        <v>268</v>
      </c>
      <c r="C307" s="39"/>
      <c r="E307" t="str">
        <f t="shared" si="4"/>
        <v/>
      </c>
    </row>
    <row r="308" spans="1:5" x14ac:dyDescent="0.25">
      <c r="A308" s="39" t="s">
        <v>422</v>
      </c>
      <c r="B308" s="40" t="s">
        <v>269</v>
      </c>
      <c r="C308" s="39"/>
      <c r="E308" t="str">
        <f t="shared" si="4"/>
        <v/>
      </c>
    </row>
    <row r="309" spans="1:5" ht="25.5" x14ac:dyDescent="0.25">
      <c r="A309" s="39" t="s">
        <v>423</v>
      </c>
      <c r="B309" s="40" t="s">
        <v>270</v>
      </c>
      <c r="C309" s="39"/>
      <c r="E309" t="str">
        <f t="shared" si="4"/>
        <v/>
      </c>
    </row>
    <row r="310" spans="1:5" ht="25.5" x14ac:dyDescent="0.25">
      <c r="A310" s="39" t="s">
        <v>423</v>
      </c>
      <c r="B310" s="40" t="s">
        <v>271</v>
      </c>
      <c r="C310" s="39"/>
      <c r="E310" t="str">
        <f t="shared" si="4"/>
        <v/>
      </c>
    </row>
    <row r="311" spans="1:5" ht="25.5" x14ac:dyDescent="0.25">
      <c r="A311" s="39" t="s">
        <v>423</v>
      </c>
      <c r="B311" s="40" t="s">
        <v>272</v>
      </c>
      <c r="C311" s="39"/>
      <c r="E311" t="str">
        <f t="shared" si="4"/>
        <v/>
      </c>
    </row>
    <row r="312" spans="1:5" ht="25.5" x14ac:dyDescent="0.25">
      <c r="A312" s="39" t="s">
        <v>424</v>
      </c>
      <c r="B312" s="40" t="s">
        <v>273</v>
      </c>
      <c r="C312" s="39"/>
      <c r="E312" t="str">
        <f t="shared" si="4"/>
        <v/>
      </c>
    </row>
    <row r="313" spans="1:5" ht="25.5" x14ac:dyDescent="0.25">
      <c r="A313" s="39" t="s">
        <v>424</v>
      </c>
      <c r="B313" s="40" t="s">
        <v>274</v>
      </c>
      <c r="C313" s="39"/>
      <c r="E313" t="str">
        <f t="shared" si="4"/>
        <v/>
      </c>
    </row>
    <row r="314" spans="1:5" ht="25.5" x14ac:dyDescent="0.25">
      <c r="A314" s="39" t="s">
        <v>424</v>
      </c>
      <c r="B314" s="40" t="s">
        <v>275</v>
      </c>
      <c r="C314" s="39"/>
      <c r="E314" t="str">
        <f t="shared" si="4"/>
        <v/>
      </c>
    </row>
    <row r="315" spans="1:5" x14ac:dyDescent="0.25">
      <c r="A315" s="39" t="s">
        <v>425</v>
      </c>
      <c r="B315" s="40" t="s">
        <v>276</v>
      </c>
      <c r="C315" s="39"/>
      <c r="E315" t="str">
        <f t="shared" si="4"/>
        <v/>
      </c>
    </row>
    <row r="316" spans="1:5" x14ac:dyDescent="0.25">
      <c r="A316" s="39" t="s">
        <v>425</v>
      </c>
      <c r="B316" s="40" t="s">
        <v>277</v>
      </c>
      <c r="C316" s="39"/>
      <c r="E316" t="str">
        <f t="shared" si="4"/>
        <v/>
      </c>
    </row>
    <row r="317" spans="1:5" x14ac:dyDescent="0.25">
      <c r="A317" s="39" t="s">
        <v>425</v>
      </c>
      <c r="B317" s="40" t="s">
        <v>278</v>
      </c>
      <c r="C317" s="39"/>
      <c r="E317" t="str">
        <f t="shared" si="4"/>
        <v/>
      </c>
    </row>
    <row r="318" spans="1:5" x14ac:dyDescent="0.25">
      <c r="A318" s="39" t="s">
        <v>426</v>
      </c>
      <c r="B318" s="40" t="s">
        <v>279</v>
      </c>
      <c r="C318" s="39"/>
      <c r="E318" t="str">
        <f t="shared" si="4"/>
        <v/>
      </c>
    </row>
    <row r="319" spans="1:5" x14ac:dyDescent="0.25">
      <c r="A319" s="39" t="s">
        <v>426</v>
      </c>
      <c r="B319" s="40" t="s">
        <v>280</v>
      </c>
      <c r="C319" s="39"/>
      <c r="E319" t="str">
        <f t="shared" si="4"/>
        <v/>
      </c>
    </row>
    <row r="320" spans="1:5" ht="25.5" x14ac:dyDescent="0.25">
      <c r="A320" s="39" t="s">
        <v>427</v>
      </c>
      <c r="B320" s="40" t="s">
        <v>281</v>
      </c>
      <c r="C320" s="39"/>
      <c r="E320" t="str">
        <f t="shared" si="4"/>
        <v/>
      </c>
    </row>
    <row r="321" spans="1:5" ht="25.5" x14ac:dyDescent="0.25">
      <c r="A321" s="39" t="s">
        <v>427</v>
      </c>
      <c r="B321" s="40" t="s">
        <v>282</v>
      </c>
      <c r="C321" s="39"/>
      <c r="E321" t="str">
        <f t="shared" si="4"/>
        <v/>
      </c>
    </row>
    <row r="322" spans="1:5" ht="25.5" x14ac:dyDescent="0.25">
      <c r="A322" s="39" t="s">
        <v>428</v>
      </c>
      <c r="B322" s="40" t="s">
        <v>283</v>
      </c>
      <c r="C322" s="39"/>
      <c r="E322" t="str">
        <f t="shared" si="4"/>
        <v/>
      </c>
    </row>
    <row r="323" spans="1:5" ht="25.5" x14ac:dyDescent="0.25">
      <c r="A323" s="39" t="s">
        <v>428</v>
      </c>
      <c r="B323" s="40" t="s">
        <v>284</v>
      </c>
      <c r="C323" s="39"/>
      <c r="E323" t="str">
        <f t="shared" si="4"/>
        <v/>
      </c>
    </row>
    <row r="324" spans="1:5" x14ac:dyDescent="0.25">
      <c r="A324" s="39" t="s">
        <v>429</v>
      </c>
      <c r="B324" s="40" t="s">
        <v>285</v>
      </c>
      <c r="C324" s="39"/>
      <c r="E324" t="str">
        <f t="shared" si="4"/>
        <v/>
      </c>
    </row>
    <row r="325" spans="1:5" x14ac:dyDescent="0.25">
      <c r="A325" s="39" t="s">
        <v>429</v>
      </c>
      <c r="B325" s="40" t="s">
        <v>286</v>
      </c>
      <c r="C325" s="39"/>
      <c r="E325" t="str">
        <f t="shared" ref="E325:E384" si="5">IFERROR(INDEX($A$113:$B$403,D325-112,2),"")</f>
        <v/>
      </c>
    </row>
    <row r="326" spans="1:5" x14ac:dyDescent="0.25">
      <c r="A326" s="39" t="s">
        <v>430</v>
      </c>
      <c r="B326" s="40" t="s">
        <v>287</v>
      </c>
      <c r="C326" s="39"/>
      <c r="E326" t="str">
        <f t="shared" si="5"/>
        <v/>
      </c>
    </row>
    <row r="327" spans="1:5" x14ac:dyDescent="0.25">
      <c r="A327" s="39" t="s">
        <v>430</v>
      </c>
      <c r="B327" s="40" t="s">
        <v>288</v>
      </c>
      <c r="C327" s="39"/>
      <c r="E327" t="str">
        <f t="shared" si="5"/>
        <v/>
      </c>
    </row>
    <row r="328" spans="1:5" ht="25.5" x14ac:dyDescent="0.25">
      <c r="A328" s="39" t="s">
        <v>431</v>
      </c>
      <c r="B328" s="40" t="s">
        <v>289</v>
      </c>
      <c r="C328" s="39"/>
      <c r="E328" t="str">
        <f t="shared" si="5"/>
        <v/>
      </c>
    </row>
    <row r="329" spans="1:5" ht="25.5" x14ac:dyDescent="0.25">
      <c r="A329" s="39" t="s">
        <v>431</v>
      </c>
      <c r="B329" s="40" t="s">
        <v>290</v>
      </c>
      <c r="C329" s="39"/>
      <c r="E329" t="str">
        <f t="shared" si="5"/>
        <v/>
      </c>
    </row>
    <row r="330" spans="1:5" ht="25.5" x14ac:dyDescent="0.25">
      <c r="A330" s="39" t="s">
        <v>431</v>
      </c>
      <c r="B330" s="40" t="s">
        <v>291</v>
      </c>
      <c r="C330" s="39"/>
      <c r="E330" t="str">
        <f t="shared" si="5"/>
        <v/>
      </c>
    </row>
    <row r="331" spans="1:5" ht="25.5" x14ac:dyDescent="0.25">
      <c r="A331" s="39" t="s">
        <v>431</v>
      </c>
      <c r="B331" s="40" t="s">
        <v>292</v>
      </c>
      <c r="C331" s="39"/>
      <c r="E331" t="str">
        <f t="shared" si="5"/>
        <v/>
      </c>
    </row>
    <row r="332" spans="1:5" x14ac:dyDescent="0.25">
      <c r="A332" s="39" t="s">
        <v>432</v>
      </c>
      <c r="B332" s="40" t="s">
        <v>293</v>
      </c>
      <c r="C332" s="39"/>
      <c r="E332" t="str">
        <f t="shared" si="5"/>
        <v/>
      </c>
    </row>
    <row r="333" spans="1:5" x14ac:dyDescent="0.25">
      <c r="A333" s="39" t="s">
        <v>433</v>
      </c>
      <c r="B333" s="40" t="s">
        <v>294</v>
      </c>
      <c r="C333" s="39"/>
      <c r="E333" t="str">
        <f t="shared" si="5"/>
        <v/>
      </c>
    </row>
    <row r="334" spans="1:5" x14ac:dyDescent="0.25">
      <c r="A334" s="39" t="s">
        <v>433</v>
      </c>
      <c r="B334" s="40" t="s">
        <v>295</v>
      </c>
      <c r="C334" s="39"/>
      <c r="E334" t="str">
        <f t="shared" si="5"/>
        <v/>
      </c>
    </row>
    <row r="335" spans="1:5" x14ac:dyDescent="0.25">
      <c r="A335" s="39" t="s">
        <v>433</v>
      </c>
      <c r="B335" s="40" t="s">
        <v>296</v>
      </c>
      <c r="C335" s="39"/>
      <c r="E335" t="str">
        <f t="shared" si="5"/>
        <v/>
      </c>
    </row>
    <row r="336" spans="1:5" x14ac:dyDescent="0.25">
      <c r="A336" s="39" t="s">
        <v>433</v>
      </c>
      <c r="B336" s="40" t="s">
        <v>297</v>
      </c>
      <c r="C336" s="39"/>
      <c r="E336" t="str">
        <f t="shared" si="5"/>
        <v/>
      </c>
    </row>
    <row r="337" spans="1:5" x14ac:dyDescent="0.25">
      <c r="A337" s="39" t="s">
        <v>434</v>
      </c>
      <c r="B337" s="40" t="s">
        <v>298</v>
      </c>
      <c r="C337" s="39"/>
      <c r="E337" t="str">
        <f t="shared" si="5"/>
        <v/>
      </c>
    </row>
    <row r="338" spans="1:5" x14ac:dyDescent="0.25">
      <c r="A338" s="39" t="s">
        <v>434</v>
      </c>
      <c r="B338" s="40" t="s">
        <v>299</v>
      </c>
      <c r="C338" s="39"/>
      <c r="E338" t="str">
        <f t="shared" si="5"/>
        <v/>
      </c>
    </row>
    <row r="339" spans="1:5" x14ac:dyDescent="0.25">
      <c r="A339" s="39" t="s">
        <v>434</v>
      </c>
      <c r="B339" s="40" t="s">
        <v>300</v>
      </c>
      <c r="C339" s="39"/>
      <c r="E339" t="str">
        <f t="shared" si="5"/>
        <v/>
      </c>
    </row>
    <row r="340" spans="1:5" ht="25.5" x14ac:dyDescent="0.25">
      <c r="A340" s="39" t="s">
        <v>435</v>
      </c>
      <c r="B340" s="40" t="s">
        <v>301</v>
      </c>
      <c r="C340" s="39"/>
      <c r="E340" t="str">
        <f t="shared" si="5"/>
        <v/>
      </c>
    </row>
    <row r="341" spans="1:5" ht="25.5" x14ac:dyDescent="0.3">
      <c r="A341" s="39" t="s">
        <v>435</v>
      </c>
      <c r="B341" s="41" t="s">
        <v>304</v>
      </c>
      <c r="C341" s="41"/>
      <c r="E341" t="str">
        <f t="shared" si="5"/>
        <v/>
      </c>
    </row>
    <row r="342" spans="1:5" ht="15.75" x14ac:dyDescent="0.3">
      <c r="A342" s="39" t="s">
        <v>436</v>
      </c>
      <c r="B342" s="41" t="s">
        <v>305</v>
      </c>
      <c r="C342" s="41"/>
      <c r="E342" t="str">
        <f t="shared" si="5"/>
        <v/>
      </c>
    </row>
    <row r="343" spans="1:5" x14ac:dyDescent="0.25">
      <c r="A343" s="39" t="s">
        <v>436</v>
      </c>
      <c r="B343" s="40" t="s">
        <v>306</v>
      </c>
      <c r="C343" s="39"/>
      <c r="E343" t="str">
        <f t="shared" si="5"/>
        <v/>
      </c>
    </row>
    <row r="344" spans="1:5" x14ac:dyDescent="0.25">
      <c r="A344" s="39" t="s">
        <v>436</v>
      </c>
      <c r="B344" s="40" t="s">
        <v>307</v>
      </c>
      <c r="C344" s="39"/>
      <c r="E344" t="str">
        <f t="shared" si="5"/>
        <v/>
      </c>
    </row>
    <row r="345" spans="1:5" x14ac:dyDescent="0.25">
      <c r="A345" s="39" t="s">
        <v>437</v>
      </c>
      <c r="B345" s="40" t="s">
        <v>308</v>
      </c>
      <c r="C345" s="39"/>
      <c r="E345" t="str">
        <f t="shared" si="5"/>
        <v/>
      </c>
    </row>
    <row r="346" spans="1:5" x14ac:dyDescent="0.25">
      <c r="A346" s="39" t="s">
        <v>437</v>
      </c>
      <c r="B346" s="40" t="s">
        <v>309</v>
      </c>
      <c r="C346" s="39"/>
      <c r="E346" t="str">
        <f t="shared" si="5"/>
        <v/>
      </c>
    </row>
    <row r="347" spans="1:5" x14ac:dyDescent="0.25">
      <c r="A347" s="39" t="s">
        <v>437</v>
      </c>
      <c r="B347" s="40" t="s">
        <v>310</v>
      </c>
      <c r="C347" s="39"/>
      <c r="E347" t="str">
        <f t="shared" si="5"/>
        <v/>
      </c>
    </row>
    <row r="348" spans="1:5" ht="25.5" x14ac:dyDescent="0.25">
      <c r="A348" s="39" t="s">
        <v>438</v>
      </c>
      <c r="B348" s="40" t="s">
        <v>311</v>
      </c>
      <c r="C348" s="39"/>
      <c r="E348" t="str">
        <f t="shared" si="5"/>
        <v/>
      </c>
    </row>
    <row r="349" spans="1:5" ht="25.5" x14ac:dyDescent="0.25">
      <c r="A349" s="39" t="s">
        <v>438</v>
      </c>
      <c r="B349" s="40" t="s">
        <v>312</v>
      </c>
      <c r="C349" s="39"/>
      <c r="E349" t="str">
        <f t="shared" si="5"/>
        <v/>
      </c>
    </row>
    <row r="350" spans="1:5" ht="25.5" x14ac:dyDescent="0.25">
      <c r="A350" s="39" t="s">
        <v>438</v>
      </c>
      <c r="B350" s="40" t="s">
        <v>313</v>
      </c>
      <c r="C350" s="39"/>
      <c r="E350" t="str">
        <f t="shared" si="5"/>
        <v/>
      </c>
    </row>
    <row r="351" spans="1:5" ht="25.5" x14ac:dyDescent="0.25">
      <c r="A351" s="39" t="s">
        <v>438</v>
      </c>
      <c r="B351" s="40" t="s">
        <v>314</v>
      </c>
      <c r="C351" s="39"/>
      <c r="E351" t="str">
        <f t="shared" si="5"/>
        <v/>
      </c>
    </row>
    <row r="352" spans="1:5" ht="25.5" x14ac:dyDescent="0.25">
      <c r="A352" s="39" t="s">
        <v>439</v>
      </c>
      <c r="B352" s="40" t="s">
        <v>315</v>
      </c>
      <c r="C352" s="39"/>
      <c r="E352" t="str">
        <f t="shared" si="5"/>
        <v/>
      </c>
    </row>
    <row r="353" spans="1:5" ht="25.5" x14ac:dyDescent="0.25">
      <c r="A353" s="39" t="s">
        <v>439</v>
      </c>
      <c r="B353" s="40" t="s">
        <v>316</v>
      </c>
      <c r="C353" s="39"/>
      <c r="E353" t="str">
        <f t="shared" si="5"/>
        <v/>
      </c>
    </row>
    <row r="354" spans="1:5" ht="25.5" x14ac:dyDescent="0.25">
      <c r="A354" s="39" t="s">
        <v>439</v>
      </c>
      <c r="B354" s="40" t="s">
        <v>317</v>
      </c>
      <c r="C354" s="39"/>
      <c r="E354" t="str">
        <f t="shared" si="5"/>
        <v/>
      </c>
    </row>
    <row r="355" spans="1:5" x14ac:dyDescent="0.25">
      <c r="A355" s="39" t="s">
        <v>440</v>
      </c>
      <c r="B355" s="40" t="s">
        <v>318</v>
      </c>
      <c r="C355" s="39"/>
      <c r="E355" t="str">
        <f t="shared" si="5"/>
        <v/>
      </c>
    </row>
    <row r="356" spans="1:5" x14ac:dyDescent="0.25">
      <c r="A356" s="39" t="s">
        <v>440</v>
      </c>
      <c r="B356" s="40" t="s">
        <v>319</v>
      </c>
      <c r="C356" s="39"/>
      <c r="E356" t="str">
        <f t="shared" si="5"/>
        <v/>
      </c>
    </row>
    <row r="357" spans="1:5" x14ac:dyDescent="0.25">
      <c r="A357" s="39" t="s">
        <v>440</v>
      </c>
      <c r="B357" s="40" t="s">
        <v>320</v>
      </c>
      <c r="C357" s="39"/>
      <c r="E357" t="str">
        <f t="shared" si="5"/>
        <v/>
      </c>
    </row>
    <row r="358" spans="1:5" x14ac:dyDescent="0.25">
      <c r="A358" s="39" t="s">
        <v>440</v>
      </c>
      <c r="B358" s="40" t="s">
        <v>321</v>
      </c>
      <c r="C358" s="39"/>
      <c r="E358" t="str">
        <f t="shared" si="5"/>
        <v/>
      </c>
    </row>
    <row r="359" spans="1:5" x14ac:dyDescent="0.25">
      <c r="A359" s="39" t="s">
        <v>440</v>
      </c>
      <c r="B359" s="40" t="s">
        <v>322</v>
      </c>
      <c r="C359" s="39"/>
      <c r="E359" t="str">
        <f t="shared" si="5"/>
        <v/>
      </c>
    </row>
    <row r="360" spans="1:5" x14ac:dyDescent="0.25">
      <c r="A360" s="39" t="s">
        <v>440</v>
      </c>
      <c r="B360" s="40" t="s">
        <v>323</v>
      </c>
      <c r="C360" s="39"/>
      <c r="E360" t="str">
        <f t="shared" si="5"/>
        <v/>
      </c>
    </row>
    <row r="361" spans="1:5" x14ac:dyDescent="0.25">
      <c r="A361" s="39" t="s">
        <v>441</v>
      </c>
      <c r="B361" s="40" t="s">
        <v>324</v>
      </c>
      <c r="C361" s="39"/>
      <c r="E361" t="str">
        <f t="shared" si="5"/>
        <v/>
      </c>
    </row>
    <row r="362" spans="1:5" x14ac:dyDescent="0.25">
      <c r="A362" s="39" t="s">
        <v>441</v>
      </c>
      <c r="B362" s="40" t="s">
        <v>325</v>
      </c>
      <c r="C362" s="39"/>
      <c r="E362" t="str">
        <f t="shared" si="5"/>
        <v/>
      </c>
    </row>
    <row r="363" spans="1:5" x14ac:dyDescent="0.25">
      <c r="A363" s="39" t="s">
        <v>441</v>
      </c>
      <c r="B363" s="40" t="s">
        <v>326</v>
      </c>
      <c r="C363" s="39"/>
      <c r="E363" t="str">
        <f t="shared" si="5"/>
        <v/>
      </c>
    </row>
    <row r="364" spans="1:5" x14ac:dyDescent="0.25">
      <c r="A364" s="39" t="s">
        <v>442</v>
      </c>
      <c r="B364" s="40" t="s">
        <v>327</v>
      </c>
      <c r="C364" s="39"/>
      <c r="E364" t="str">
        <f t="shared" si="5"/>
        <v/>
      </c>
    </row>
    <row r="365" spans="1:5" x14ac:dyDescent="0.25">
      <c r="A365" s="39" t="s">
        <v>442</v>
      </c>
      <c r="B365" s="40" t="s">
        <v>328</v>
      </c>
      <c r="C365" s="39"/>
      <c r="E365" t="str">
        <f t="shared" si="5"/>
        <v/>
      </c>
    </row>
    <row r="366" spans="1:5" x14ac:dyDescent="0.25">
      <c r="A366" s="39" t="s">
        <v>442</v>
      </c>
      <c r="B366" s="40" t="s">
        <v>329</v>
      </c>
      <c r="C366" s="39"/>
      <c r="E366" t="str">
        <f t="shared" si="5"/>
        <v/>
      </c>
    </row>
    <row r="367" spans="1:5" x14ac:dyDescent="0.25">
      <c r="A367" s="39" t="s">
        <v>442</v>
      </c>
      <c r="B367" s="40" t="s">
        <v>330</v>
      </c>
      <c r="C367" s="39"/>
      <c r="E367" t="str">
        <f t="shared" si="5"/>
        <v/>
      </c>
    </row>
    <row r="368" spans="1:5" x14ac:dyDescent="0.25">
      <c r="A368" s="39" t="s">
        <v>443</v>
      </c>
      <c r="B368" s="40" t="s">
        <v>331</v>
      </c>
      <c r="C368" s="39"/>
      <c r="E368" t="str">
        <f t="shared" si="5"/>
        <v/>
      </c>
    </row>
    <row r="369" spans="1:5" x14ac:dyDescent="0.25">
      <c r="A369" s="39" t="s">
        <v>443</v>
      </c>
      <c r="B369" s="40" t="s">
        <v>332</v>
      </c>
      <c r="C369" s="39"/>
      <c r="E369" t="str">
        <f t="shared" si="5"/>
        <v/>
      </c>
    </row>
    <row r="370" spans="1:5" x14ac:dyDescent="0.25">
      <c r="A370" s="39" t="s">
        <v>444</v>
      </c>
      <c r="B370" s="40" t="s">
        <v>333</v>
      </c>
      <c r="C370" s="39"/>
      <c r="E370" t="str">
        <f t="shared" si="5"/>
        <v/>
      </c>
    </row>
    <row r="371" spans="1:5" ht="25.5" x14ac:dyDescent="0.25">
      <c r="A371" s="39" t="s">
        <v>445</v>
      </c>
      <c r="B371" s="40" t="s">
        <v>338</v>
      </c>
      <c r="C371" s="39"/>
      <c r="E371" t="str">
        <f t="shared" si="5"/>
        <v/>
      </c>
    </row>
    <row r="372" spans="1:5" x14ac:dyDescent="0.25">
      <c r="A372" s="39" t="s">
        <v>446</v>
      </c>
      <c r="B372" s="40" t="s">
        <v>343</v>
      </c>
      <c r="C372" s="39"/>
      <c r="E372" t="str">
        <f t="shared" si="5"/>
        <v/>
      </c>
    </row>
    <row r="373" spans="1:5" ht="25.5" x14ac:dyDescent="0.25">
      <c r="A373" s="39" t="s">
        <v>447</v>
      </c>
      <c r="B373" s="39" t="s">
        <v>346</v>
      </c>
      <c r="C373" s="39"/>
      <c r="E373" t="str">
        <f t="shared" si="5"/>
        <v/>
      </c>
    </row>
    <row r="374" spans="1:5" ht="25.5" x14ac:dyDescent="0.25">
      <c r="A374" s="39" t="s">
        <v>447</v>
      </c>
      <c r="B374" s="40" t="s">
        <v>351</v>
      </c>
      <c r="C374" s="40"/>
      <c r="E374" t="str">
        <f t="shared" si="5"/>
        <v/>
      </c>
    </row>
    <row r="375" spans="1:5" ht="25.5" x14ac:dyDescent="0.25">
      <c r="A375" s="39" t="s">
        <v>448</v>
      </c>
      <c r="B375" s="40" t="s">
        <v>354</v>
      </c>
      <c r="C375" s="40"/>
      <c r="E375" t="str">
        <f t="shared" si="5"/>
        <v/>
      </c>
    </row>
    <row r="376" spans="1:5" ht="25.5" x14ac:dyDescent="0.25">
      <c r="A376" s="39" t="s">
        <v>448</v>
      </c>
      <c r="B376" s="40" t="s">
        <v>355</v>
      </c>
      <c r="C376" s="40"/>
      <c r="E376" t="str">
        <f t="shared" si="5"/>
        <v/>
      </c>
    </row>
    <row r="377" spans="1:5" ht="25.5" x14ac:dyDescent="0.25">
      <c r="A377" s="39" t="s">
        <v>448</v>
      </c>
      <c r="B377" s="40" t="s">
        <v>356</v>
      </c>
      <c r="C377" s="39"/>
      <c r="E377" t="str">
        <f t="shared" si="5"/>
        <v/>
      </c>
    </row>
    <row r="378" spans="1:5" ht="25.5" x14ac:dyDescent="0.25">
      <c r="A378" s="39" t="s">
        <v>449</v>
      </c>
      <c r="B378" s="40" t="s">
        <v>357</v>
      </c>
      <c r="C378" s="40"/>
      <c r="E378" t="str">
        <f t="shared" si="5"/>
        <v/>
      </c>
    </row>
    <row r="379" spans="1:5" ht="25.5" x14ac:dyDescent="0.25">
      <c r="A379" s="39" t="s">
        <v>449</v>
      </c>
      <c r="B379" s="40" t="s">
        <v>358</v>
      </c>
      <c r="C379" s="40"/>
      <c r="E379" t="str">
        <f t="shared" si="5"/>
        <v/>
      </c>
    </row>
    <row r="380" spans="1:5" ht="25.5" x14ac:dyDescent="0.25">
      <c r="A380" s="39" t="s">
        <v>450</v>
      </c>
      <c r="B380" s="40" t="s">
        <v>359</v>
      </c>
      <c r="C380" s="40"/>
      <c r="E380" t="str">
        <f t="shared" si="5"/>
        <v/>
      </c>
    </row>
    <row r="381" spans="1:5" x14ac:dyDescent="0.25">
      <c r="A381" s="39" t="s">
        <v>451</v>
      </c>
      <c r="B381" s="40" t="s">
        <v>364</v>
      </c>
      <c r="C381" s="40"/>
      <c r="E381" t="str">
        <f t="shared" si="5"/>
        <v/>
      </c>
    </row>
    <row r="382" spans="1:5" x14ac:dyDescent="0.25">
      <c r="A382" s="39"/>
      <c r="B382" s="40"/>
      <c r="C382" s="39"/>
      <c r="E382" t="str">
        <f t="shared" si="5"/>
        <v/>
      </c>
    </row>
    <row r="383" spans="1:5" x14ac:dyDescent="0.25">
      <c r="A383" s="43" t="s">
        <v>65</v>
      </c>
      <c r="B383" s="44" t="str">
        <f>IF(Stammdaten!I13="","",Stammdaten!I13)</f>
        <v/>
      </c>
      <c r="C383" s="40"/>
      <c r="E383" t="str">
        <f t="shared" si="5"/>
        <v/>
      </c>
    </row>
    <row r="384" spans="1:5" x14ac:dyDescent="0.25">
      <c r="A384" s="39"/>
      <c r="B384" s="40"/>
      <c r="C384" s="40"/>
      <c r="E384" t="str">
        <f t="shared" si="5"/>
        <v/>
      </c>
    </row>
    <row r="385" spans="1:5" x14ac:dyDescent="0.25">
      <c r="A385" s="39" t="s">
        <v>74</v>
      </c>
      <c r="B385" s="40" t="s">
        <v>470</v>
      </c>
      <c r="C385" s="39"/>
      <c r="D385" s="42" t="str">
        <f t="shared" ref="D385:D393" si="6">IF($B$383="","",_xlfn.AGGREGATE(15,6,ROW($A$385:$B$995)/(FIND($B$383,$A$385:$B$995,1)&gt;0),ROW()-384))</f>
        <v/>
      </c>
      <c r="E385" t="str">
        <f>IFERROR(INDEX($A$385:$B$995,D385-384,2),"")</f>
        <v/>
      </c>
    </row>
    <row r="386" spans="1:5" x14ac:dyDescent="0.25">
      <c r="A386" s="39" t="s">
        <v>74</v>
      </c>
      <c r="B386" s="40" t="s">
        <v>471</v>
      </c>
      <c r="C386" s="40"/>
      <c r="D386" s="42" t="str">
        <f t="shared" si="6"/>
        <v/>
      </c>
      <c r="E386" t="str">
        <f t="shared" ref="E386:E391" si="7">IFERROR(INDEX($A$385:$B$995,D386-384,2),"")</f>
        <v/>
      </c>
    </row>
    <row r="387" spans="1:5" x14ac:dyDescent="0.25">
      <c r="A387" s="39" t="s">
        <v>74</v>
      </c>
      <c r="B387" s="40" t="s">
        <v>472</v>
      </c>
      <c r="C387" s="40"/>
      <c r="D387" s="42" t="str">
        <f t="shared" si="6"/>
        <v/>
      </c>
      <c r="E387" t="str">
        <f t="shared" si="7"/>
        <v/>
      </c>
    </row>
    <row r="388" spans="1:5" x14ac:dyDescent="0.25">
      <c r="A388" s="39" t="s">
        <v>74</v>
      </c>
      <c r="B388" s="40" t="s">
        <v>473</v>
      </c>
      <c r="C388" s="40"/>
      <c r="D388" s="42" t="str">
        <f t="shared" si="6"/>
        <v/>
      </c>
      <c r="E388" t="str">
        <f t="shared" si="7"/>
        <v/>
      </c>
    </row>
    <row r="389" spans="1:5" x14ac:dyDescent="0.25">
      <c r="A389" s="39" t="s">
        <v>74</v>
      </c>
      <c r="B389" s="40" t="s">
        <v>474</v>
      </c>
      <c r="C389" s="40"/>
      <c r="D389" s="42" t="str">
        <f t="shared" si="6"/>
        <v/>
      </c>
      <c r="E389" t="str">
        <f t="shared" si="7"/>
        <v/>
      </c>
    </row>
    <row r="390" spans="1:5" x14ac:dyDescent="0.25">
      <c r="A390" s="39" t="s">
        <v>74</v>
      </c>
      <c r="B390" s="40" t="s">
        <v>475</v>
      </c>
      <c r="C390" s="39"/>
      <c r="D390" s="42" t="str">
        <f t="shared" si="6"/>
        <v/>
      </c>
      <c r="E390" t="str">
        <f t="shared" si="7"/>
        <v/>
      </c>
    </row>
    <row r="391" spans="1:5" x14ac:dyDescent="0.25">
      <c r="A391" s="39" t="s">
        <v>74</v>
      </c>
      <c r="B391" s="40" t="s">
        <v>476</v>
      </c>
      <c r="C391" s="40"/>
      <c r="D391" s="42" t="str">
        <f t="shared" si="6"/>
        <v/>
      </c>
      <c r="E391" t="str">
        <f t="shared" si="7"/>
        <v/>
      </c>
    </row>
    <row r="392" spans="1:5" x14ac:dyDescent="0.25">
      <c r="A392" s="39" t="s">
        <v>101</v>
      </c>
      <c r="B392" s="40" t="s">
        <v>477</v>
      </c>
      <c r="C392" s="40"/>
      <c r="D392" s="42" t="str">
        <f t="shared" si="6"/>
        <v/>
      </c>
      <c r="E392" t="str">
        <f>IFERROR(INDEX($A$385:$B$995,D392-384,2),"Bitte nach oben scrollen")</f>
        <v>Bitte nach oben scrollen</v>
      </c>
    </row>
    <row r="393" spans="1:5" x14ac:dyDescent="0.25">
      <c r="A393" s="39" t="s">
        <v>101</v>
      </c>
      <c r="B393" s="40" t="s">
        <v>478</v>
      </c>
      <c r="C393" s="39"/>
      <c r="D393" s="42" t="str">
        <f t="shared" si="6"/>
        <v/>
      </c>
      <c r="E393" t="str">
        <f>IFERROR(INDEX($A$385:$B$995,D393-384,2),"")</f>
        <v/>
      </c>
    </row>
    <row r="394" spans="1:5" x14ac:dyDescent="0.25">
      <c r="A394" s="39" t="s">
        <v>101</v>
      </c>
      <c r="B394" s="40" t="s">
        <v>479</v>
      </c>
      <c r="C394" s="39"/>
    </row>
    <row r="395" spans="1:5" x14ac:dyDescent="0.25">
      <c r="A395" s="39" t="s">
        <v>101</v>
      </c>
      <c r="B395" s="40" t="s">
        <v>480</v>
      </c>
      <c r="C395" s="39"/>
    </row>
    <row r="396" spans="1:5" x14ac:dyDescent="0.25">
      <c r="A396" s="39" t="s">
        <v>101</v>
      </c>
      <c r="B396" s="40" t="s">
        <v>481</v>
      </c>
      <c r="C396" s="39"/>
    </row>
    <row r="397" spans="1:5" x14ac:dyDescent="0.25">
      <c r="A397" s="39" t="s">
        <v>101</v>
      </c>
      <c r="B397" s="40" t="s">
        <v>482</v>
      </c>
      <c r="C397" s="39"/>
    </row>
    <row r="398" spans="1:5" x14ac:dyDescent="0.25">
      <c r="A398" s="39" t="s">
        <v>101</v>
      </c>
      <c r="B398" s="40" t="s">
        <v>483</v>
      </c>
      <c r="C398" s="39"/>
    </row>
    <row r="399" spans="1:5" x14ac:dyDescent="0.25">
      <c r="A399" s="39" t="s">
        <v>101</v>
      </c>
      <c r="B399" s="40" t="s">
        <v>484</v>
      </c>
      <c r="C399" s="40"/>
    </row>
    <row r="400" spans="1:5" x14ac:dyDescent="0.25">
      <c r="A400" s="39" t="s">
        <v>101</v>
      </c>
      <c r="B400" s="39" t="s">
        <v>485</v>
      </c>
      <c r="C400" s="39"/>
    </row>
    <row r="401" spans="1:3" ht="25.5" x14ac:dyDescent="0.25">
      <c r="A401" s="39" t="s">
        <v>124</v>
      </c>
      <c r="B401" s="40" t="s">
        <v>486</v>
      </c>
      <c r="C401" s="40"/>
    </row>
    <row r="402" spans="1:3" x14ac:dyDescent="0.25">
      <c r="A402" s="39" t="s">
        <v>138</v>
      </c>
      <c r="B402" s="39" t="s">
        <v>487</v>
      </c>
      <c r="C402" s="39"/>
    </row>
    <row r="403" spans="1:3" x14ac:dyDescent="0.25">
      <c r="A403" s="39" t="s">
        <v>138</v>
      </c>
      <c r="B403" s="40" t="s">
        <v>488</v>
      </c>
      <c r="C403" s="39"/>
    </row>
    <row r="404" spans="1:3" x14ac:dyDescent="0.25">
      <c r="A404" t="s">
        <v>138</v>
      </c>
      <c r="B404" t="s">
        <v>489</v>
      </c>
    </row>
    <row r="405" spans="1:3" x14ac:dyDescent="0.25">
      <c r="A405" t="s">
        <v>138</v>
      </c>
      <c r="B405" t="s">
        <v>490</v>
      </c>
    </row>
    <row r="406" spans="1:3" x14ac:dyDescent="0.25">
      <c r="A406" t="s">
        <v>138</v>
      </c>
      <c r="B406" t="s">
        <v>491</v>
      </c>
    </row>
    <row r="407" spans="1:3" x14ac:dyDescent="0.25">
      <c r="A407" t="s">
        <v>138</v>
      </c>
      <c r="B407" t="s">
        <v>492</v>
      </c>
    </row>
    <row r="408" spans="1:3" x14ac:dyDescent="0.25">
      <c r="A408" t="s">
        <v>138</v>
      </c>
      <c r="B408" t="s">
        <v>493</v>
      </c>
    </row>
    <row r="409" spans="1:3" x14ac:dyDescent="0.25">
      <c r="A409" t="s">
        <v>138</v>
      </c>
      <c r="B409" t="s">
        <v>494</v>
      </c>
    </row>
    <row r="410" spans="1:3" x14ac:dyDescent="0.25">
      <c r="A410" t="s">
        <v>149</v>
      </c>
      <c r="B410" t="s">
        <v>495</v>
      </c>
    </row>
    <row r="411" spans="1:3" x14ac:dyDescent="0.25">
      <c r="A411" t="s">
        <v>157</v>
      </c>
      <c r="B411" t="s">
        <v>496</v>
      </c>
    </row>
    <row r="412" spans="1:3" x14ac:dyDescent="0.25">
      <c r="A412" t="s">
        <v>157</v>
      </c>
      <c r="B412" t="s">
        <v>497</v>
      </c>
    </row>
    <row r="413" spans="1:3" x14ac:dyDescent="0.25">
      <c r="A413" t="s">
        <v>157</v>
      </c>
      <c r="B413" t="s">
        <v>498</v>
      </c>
    </row>
    <row r="414" spans="1:3" x14ac:dyDescent="0.25">
      <c r="A414" t="s">
        <v>157</v>
      </c>
      <c r="B414" t="s">
        <v>499</v>
      </c>
    </row>
    <row r="415" spans="1:3" x14ac:dyDescent="0.25">
      <c r="A415" t="s">
        <v>163</v>
      </c>
      <c r="B415" t="s">
        <v>500</v>
      </c>
    </row>
    <row r="416" spans="1:3" x14ac:dyDescent="0.25">
      <c r="A416" t="s">
        <v>75</v>
      </c>
      <c r="B416" t="s">
        <v>501</v>
      </c>
    </row>
    <row r="417" spans="1:2" x14ac:dyDescent="0.25">
      <c r="A417" t="s">
        <v>102</v>
      </c>
      <c r="B417" t="s">
        <v>502</v>
      </c>
    </row>
    <row r="418" spans="1:2" x14ac:dyDescent="0.25">
      <c r="A418" t="s">
        <v>125</v>
      </c>
      <c r="B418" t="s">
        <v>503</v>
      </c>
    </row>
    <row r="419" spans="1:2" x14ac:dyDescent="0.25">
      <c r="A419" t="s">
        <v>139</v>
      </c>
      <c r="B419" t="s">
        <v>504</v>
      </c>
    </row>
    <row r="420" spans="1:2" x14ac:dyDescent="0.25">
      <c r="A420" t="s">
        <v>76</v>
      </c>
      <c r="B420" t="s">
        <v>505</v>
      </c>
    </row>
    <row r="421" spans="1:2" x14ac:dyDescent="0.25">
      <c r="A421" t="s">
        <v>76</v>
      </c>
      <c r="B421" t="s">
        <v>506</v>
      </c>
    </row>
    <row r="422" spans="1:2" x14ac:dyDescent="0.25">
      <c r="A422" t="s">
        <v>103</v>
      </c>
      <c r="B422" t="s">
        <v>507</v>
      </c>
    </row>
    <row r="423" spans="1:2" x14ac:dyDescent="0.25">
      <c r="A423" t="s">
        <v>103</v>
      </c>
      <c r="B423" t="s">
        <v>508</v>
      </c>
    </row>
    <row r="424" spans="1:2" x14ac:dyDescent="0.25">
      <c r="A424" t="s">
        <v>77</v>
      </c>
      <c r="B424" t="s">
        <v>509</v>
      </c>
    </row>
    <row r="425" spans="1:2" x14ac:dyDescent="0.25">
      <c r="A425" t="s">
        <v>104</v>
      </c>
      <c r="B425" t="s">
        <v>510</v>
      </c>
    </row>
    <row r="426" spans="1:2" x14ac:dyDescent="0.25">
      <c r="A426" t="s">
        <v>78</v>
      </c>
      <c r="B426" t="s">
        <v>511</v>
      </c>
    </row>
    <row r="427" spans="1:2" x14ac:dyDescent="0.25">
      <c r="A427" t="s">
        <v>105</v>
      </c>
      <c r="B427" t="s">
        <v>512</v>
      </c>
    </row>
    <row r="428" spans="1:2" x14ac:dyDescent="0.25">
      <c r="A428" t="s">
        <v>79</v>
      </c>
      <c r="B428" t="s">
        <v>513</v>
      </c>
    </row>
    <row r="429" spans="1:2" x14ac:dyDescent="0.25">
      <c r="A429" t="s">
        <v>106</v>
      </c>
      <c r="B429" t="s">
        <v>514</v>
      </c>
    </row>
    <row r="430" spans="1:2" x14ac:dyDescent="0.25">
      <c r="A430" t="s">
        <v>106</v>
      </c>
      <c r="B430" t="s">
        <v>515</v>
      </c>
    </row>
    <row r="431" spans="1:2" x14ac:dyDescent="0.25">
      <c r="A431" t="s">
        <v>80</v>
      </c>
      <c r="B431" t="s">
        <v>516</v>
      </c>
    </row>
    <row r="432" spans="1:2" x14ac:dyDescent="0.25">
      <c r="A432" t="s">
        <v>80</v>
      </c>
      <c r="B432" t="s">
        <v>517</v>
      </c>
    </row>
    <row r="433" spans="1:2" x14ac:dyDescent="0.25">
      <c r="A433" t="s">
        <v>170</v>
      </c>
      <c r="B433" t="s">
        <v>518</v>
      </c>
    </row>
    <row r="434" spans="1:2" x14ac:dyDescent="0.25">
      <c r="A434" t="s">
        <v>170</v>
      </c>
      <c r="B434" t="s">
        <v>519</v>
      </c>
    </row>
    <row r="435" spans="1:2" x14ac:dyDescent="0.25">
      <c r="A435" t="s">
        <v>170</v>
      </c>
      <c r="B435" t="s">
        <v>520</v>
      </c>
    </row>
    <row r="436" spans="1:2" x14ac:dyDescent="0.25">
      <c r="A436" t="s">
        <v>170</v>
      </c>
      <c r="B436" t="s">
        <v>521</v>
      </c>
    </row>
    <row r="437" spans="1:2" x14ac:dyDescent="0.25">
      <c r="A437" t="s">
        <v>81</v>
      </c>
      <c r="B437" t="s">
        <v>522</v>
      </c>
    </row>
    <row r="438" spans="1:2" x14ac:dyDescent="0.25">
      <c r="A438" t="s">
        <v>171</v>
      </c>
      <c r="B438" t="s">
        <v>523</v>
      </c>
    </row>
    <row r="439" spans="1:2" x14ac:dyDescent="0.25">
      <c r="A439" t="s">
        <v>82</v>
      </c>
      <c r="B439" t="s">
        <v>524</v>
      </c>
    </row>
    <row r="440" spans="1:2" x14ac:dyDescent="0.25">
      <c r="A440" t="s">
        <v>82</v>
      </c>
      <c r="B440" t="s">
        <v>525</v>
      </c>
    </row>
    <row r="441" spans="1:2" x14ac:dyDescent="0.25">
      <c r="A441" t="s">
        <v>82</v>
      </c>
      <c r="B441" t="s">
        <v>526</v>
      </c>
    </row>
    <row r="442" spans="1:2" x14ac:dyDescent="0.25">
      <c r="A442" t="s">
        <v>107</v>
      </c>
      <c r="B442" t="s">
        <v>527</v>
      </c>
    </row>
    <row r="443" spans="1:2" x14ac:dyDescent="0.25">
      <c r="A443" t="s">
        <v>126</v>
      </c>
      <c r="B443" t="s">
        <v>528</v>
      </c>
    </row>
    <row r="444" spans="1:2" x14ac:dyDescent="0.25">
      <c r="A444" t="s">
        <v>126</v>
      </c>
      <c r="B444" t="s">
        <v>529</v>
      </c>
    </row>
    <row r="445" spans="1:2" x14ac:dyDescent="0.25">
      <c r="A445" t="s">
        <v>126</v>
      </c>
      <c r="B445" t="s">
        <v>530</v>
      </c>
    </row>
    <row r="446" spans="1:2" x14ac:dyDescent="0.25">
      <c r="A446" t="s">
        <v>140</v>
      </c>
      <c r="B446" t="s">
        <v>531</v>
      </c>
    </row>
    <row r="447" spans="1:2" x14ac:dyDescent="0.25">
      <c r="A447" t="s">
        <v>140</v>
      </c>
      <c r="B447" t="s">
        <v>532</v>
      </c>
    </row>
    <row r="448" spans="1:2" x14ac:dyDescent="0.25">
      <c r="A448" t="s">
        <v>150</v>
      </c>
      <c r="B448" t="s">
        <v>533</v>
      </c>
    </row>
    <row r="449" spans="1:2" x14ac:dyDescent="0.25">
      <c r="A449" t="s">
        <v>150</v>
      </c>
      <c r="B449" t="s">
        <v>534</v>
      </c>
    </row>
    <row r="450" spans="1:2" x14ac:dyDescent="0.25">
      <c r="A450" t="s">
        <v>158</v>
      </c>
      <c r="B450" t="s">
        <v>535</v>
      </c>
    </row>
    <row r="451" spans="1:2" x14ac:dyDescent="0.25">
      <c r="A451" t="s">
        <v>158</v>
      </c>
      <c r="B451" t="s">
        <v>536</v>
      </c>
    </row>
    <row r="452" spans="1:2" x14ac:dyDescent="0.25">
      <c r="A452" t="s">
        <v>164</v>
      </c>
      <c r="B452" t="s">
        <v>537</v>
      </c>
    </row>
    <row r="453" spans="1:2" x14ac:dyDescent="0.25">
      <c r="A453" t="s">
        <v>164</v>
      </c>
      <c r="B453" t="s">
        <v>538</v>
      </c>
    </row>
    <row r="454" spans="1:2" x14ac:dyDescent="0.25">
      <c r="A454" t="s">
        <v>164</v>
      </c>
      <c r="B454" t="s">
        <v>539</v>
      </c>
    </row>
    <row r="455" spans="1:2" x14ac:dyDescent="0.25">
      <c r="A455" t="s">
        <v>168</v>
      </c>
      <c r="B455" t="s">
        <v>540</v>
      </c>
    </row>
    <row r="456" spans="1:2" x14ac:dyDescent="0.25">
      <c r="A456" t="s">
        <v>168</v>
      </c>
      <c r="B456" t="s">
        <v>541</v>
      </c>
    </row>
    <row r="457" spans="1:2" x14ac:dyDescent="0.25">
      <c r="A457" t="s">
        <v>168</v>
      </c>
      <c r="B457" t="s">
        <v>542</v>
      </c>
    </row>
    <row r="458" spans="1:2" x14ac:dyDescent="0.25">
      <c r="A458" t="s">
        <v>168</v>
      </c>
      <c r="B458" t="s">
        <v>543</v>
      </c>
    </row>
    <row r="459" spans="1:2" x14ac:dyDescent="0.25">
      <c r="A459" t="s">
        <v>168</v>
      </c>
      <c r="B459" t="s">
        <v>544</v>
      </c>
    </row>
    <row r="460" spans="1:2" x14ac:dyDescent="0.25">
      <c r="A460" t="s">
        <v>168</v>
      </c>
      <c r="B460" t="s">
        <v>545</v>
      </c>
    </row>
    <row r="461" spans="1:2" x14ac:dyDescent="0.25">
      <c r="A461" t="s">
        <v>168</v>
      </c>
      <c r="B461" t="s">
        <v>546</v>
      </c>
    </row>
    <row r="462" spans="1:2" x14ac:dyDescent="0.25">
      <c r="A462" t="s">
        <v>172</v>
      </c>
      <c r="B462" t="s">
        <v>547</v>
      </c>
    </row>
    <row r="463" spans="1:2" x14ac:dyDescent="0.25">
      <c r="A463" t="s">
        <v>172</v>
      </c>
      <c r="B463" t="s">
        <v>548</v>
      </c>
    </row>
    <row r="464" spans="1:2" x14ac:dyDescent="0.25">
      <c r="A464" t="s">
        <v>179</v>
      </c>
      <c r="B464" t="s">
        <v>549</v>
      </c>
    </row>
    <row r="465" spans="1:2" x14ac:dyDescent="0.25">
      <c r="A465" t="s">
        <v>179</v>
      </c>
      <c r="B465" t="s">
        <v>550</v>
      </c>
    </row>
    <row r="466" spans="1:2" x14ac:dyDescent="0.25">
      <c r="A466" t="s">
        <v>179</v>
      </c>
      <c r="B466" t="s">
        <v>551</v>
      </c>
    </row>
    <row r="467" spans="1:2" x14ac:dyDescent="0.25">
      <c r="A467" t="s">
        <v>179</v>
      </c>
      <c r="B467" t="s">
        <v>552</v>
      </c>
    </row>
    <row r="468" spans="1:2" x14ac:dyDescent="0.25">
      <c r="A468" t="s">
        <v>179</v>
      </c>
      <c r="B468" t="s">
        <v>553</v>
      </c>
    </row>
    <row r="469" spans="1:2" x14ac:dyDescent="0.25">
      <c r="A469" t="s">
        <v>179</v>
      </c>
      <c r="B469" t="s">
        <v>554</v>
      </c>
    </row>
    <row r="470" spans="1:2" x14ac:dyDescent="0.25">
      <c r="A470" t="s">
        <v>179</v>
      </c>
      <c r="B470" t="s">
        <v>555</v>
      </c>
    </row>
    <row r="471" spans="1:2" x14ac:dyDescent="0.25">
      <c r="A471" t="s">
        <v>180</v>
      </c>
      <c r="B471" t="s">
        <v>556</v>
      </c>
    </row>
    <row r="472" spans="1:2" x14ac:dyDescent="0.25">
      <c r="A472" t="s">
        <v>83</v>
      </c>
      <c r="B472" t="s">
        <v>557</v>
      </c>
    </row>
    <row r="473" spans="1:2" x14ac:dyDescent="0.25">
      <c r="A473" t="s">
        <v>108</v>
      </c>
      <c r="B473" t="s">
        <v>558</v>
      </c>
    </row>
    <row r="474" spans="1:2" x14ac:dyDescent="0.25">
      <c r="A474" t="s">
        <v>127</v>
      </c>
      <c r="B474" t="s">
        <v>559</v>
      </c>
    </row>
    <row r="475" spans="1:2" x14ac:dyDescent="0.25">
      <c r="A475" t="s">
        <v>173</v>
      </c>
      <c r="B475" t="s">
        <v>560</v>
      </c>
    </row>
    <row r="476" spans="1:2" x14ac:dyDescent="0.25">
      <c r="A476" t="s">
        <v>173</v>
      </c>
      <c r="B476" t="s">
        <v>561</v>
      </c>
    </row>
    <row r="477" spans="1:2" x14ac:dyDescent="0.25">
      <c r="A477" t="s">
        <v>173</v>
      </c>
      <c r="B477" t="s">
        <v>562</v>
      </c>
    </row>
    <row r="478" spans="1:2" x14ac:dyDescent="0.25">
      <c r="A478" t="s">
        <v>173</v>
      </c>
      <c r="B478" t="s">
        <v>563</v>
      </c>
    </row>
    <row r="479" spans="1:2" x14ac:dyDescent="0.25">
      <c r="A479" t="s">
        <v>173</v>
      </c>
      <c r="B479" t="s">
        <v>564</v>
      </c>
    </row>
    <row r="480" spans="1:2" x14ac:dyDescent="0.25">
      <c r="A480" t="s">
        <v>173</v>
      </c>
      <c r="B480" t="s">
        <v>565</v>
      </c>
    </row>
    <row r="481" spans="1:2" x14ac:dyDescent="0.25">
      <c r="A481" t="s">
        <v>173</v>
      </c>
      <c r="B481" t="s">
        <v>566</v>
      </c>
    </row>
    <row r="482" spans="1:2" x14ac:dyDescent="0.25">
      <c r="A482" t="s">
        <v>84</v>
      </c>
      <c r="B482" t="s">
        <v>567</v>
      </c>
    </row>
    <row r="483" spans="1:2" x14ac:dyDescent="0.25">
      <c r="A483" t="s">
        <v>84</v>
      </c>
      <c r="B483" t="s">
        <v>568</v>
      </c>
    </row>
    <row r="484" spans="1:2" x14ac:dyDescent="0.25">
      <c r="A484" t="s">
        <v>84</v>
      </c>
      <c r="B484" t="s">
        <v>569</v>
      </c>
    </row>
    <row r="485" spans="1:2" x14ac:dyDescent="0.25">
      <c r="A485" t="s">
        <v>84</v>
      </c>
      <c r="B485" t="s">
        <v>570</v>
      </c>
    </row>
    <row r="486" spans="1:2" x14ac:dyDescent="0.25">
      <c r="A486" t="s">
        <v>84</v>
      </c>
      <c r="B486" t="s">
        <v>571</v>
      </c>
    </row>
    <row r="487" spans="1:2" x14ac:dyDescent="0.25">
      <c r="A487" t="s">
        <v>109</v>
      </c>
      <c r="B487" t="s">
        <v>572</v>
      </c>
    </row>
    <row r="488" spans="1:2" x14ac:dyDescent="0.25">
      <c r="A488" t="s">
        <v>128</v>
      </c>
      <c r="B488" t="s">
        <v>573</v>
      </c>
    </row>
    <row r="489" spans="1:2" x14ac:dyDescent="0.25">
      <c r="A489" t="s">
        <v>128</v>
      </c>
      <c r="B489" t="s">
        <v>574</v>
      </c>
    </row>
    <row r="490" spans="1:2" x14ac:dyDescent="0.25">
      <c r="A490" t="s">
        <v>85</v>
      </c>
      <c r="B490" t="s">
        <v>575</v>
      </c>
    </row>
    <row r="491" spans="1:2" x14ac:dyDescent="0.25">
      <c r="A491" t="s">
        <v>85</v>
      </c>
      <c r="B491" t="s">
        <v>576</v>
      </c>
    </row>
    <row r="492" spans="1:2" x14ac:dyDescent="0.25">
      <c r="A492" t="s">
        <v>110</v>
      </c>
      <c r="B492" t="s">
        <v>577</v>
      </c>
    </row>
    <row r="493" spans="1:2" x14ac:dyDescent="0.25">
      <c r="A493" t="s">
        <v>86</v>
      </c>
      <c r="B493" t="s">
        <v>578</v>
      </c>
    </row>
    <row r="494" spans="1:2" x14ac:dyDescent="0.25">
      <c r="A494" t="s">
        <v>111</v>
      </c>
      <c r="B494" t="s">
        <v>579</v>
      </c>
    </row>
    <row r="495" spans="1:2" x14ac:dyDescent="0.25">
      <c r="A495" t="s">
        <v>111</v>
      </c>
      <c r="B495" t="s">
        <v>580</v>
      </c>
    </row>
    <row r="496" spans="1:2" x14ac:dyDescent="0.25">
      <c r="A496" t="s">
        <v>111</v>
      </c>
      <c r="B496" t="s">
        <v>581</v>
      </c>
    </row>
    <row r="497" spans="1:2" x14ac:dyDescent="0.25">
      <c r="A497" t="s">
        <v>111</v>
      </c>
      <c r="B497" t="s">
        <v>582</v>
      </c>
    </row>
    <row r="498" spans="1:2" x14ac:dyDescent="0.25">
      <c r="A498" t="s">
        <v>111</v>
      </c>
      <c r="B498" t="s">
        <v>583</v>
      </c>
    </row>
    <row r="499" spans="1:2" x14ac:dyDescent="0.25">
      <c r="A499" t="s">
        <v>87</v>
      </c>
      <c r="B499" t="s">
        <v>584</v>
      </c>
    </row>
    <row r="500" spans="1:2" x14ac:dyDescent="0.25">
      <c r="A500" t="s">
        <v>87</v>
      </c>
      <c r="B500" t="s">
        <v>585</v>
      </c>
    </row>
    <row r="501" spans="1:2" x14ac:dyDescent="0.25">
      <c r="A501" t="s">
        <v>112</v>
      </c>
      <c r="B501" t="s">
        <v>586</v>
      </c>
    </row>
    <row r="502" spans="1:2" x14ac:dyDescent="0.25">
      <c r="A502" t="s">
        <v>112</v>
      </c>
      <c r="B502" t="s">
        <v>587</v>
      </c>
    </row>
    <row r="503" spans="1:2" x14ac:dyDescent="0.25">
      <c r="A503" t="s">
        <v>112</v>
      </c>
      <c r="B503" t="s">
        <v>588</v>
      </c>
    </row>
    <row r="504" spans="1:2" x14ac:dyDescent="0.25">
      <c r="A504" t="s">
        <v>112</v>
      </c>
      <c r="B504" t="s">
        <v>589</v>
      </c>
    </row>
    <row r="505" spans="1:2" x14ac:dyDescent="0.25">
      <c r="A505" t="s">
        <v>112</v>
      </c>
      <c r="B505" t="s">
        <v>590</v>
      </c>
    </row>
    <row r="506" spans="1:2" x14ac:dyDescent="0.25">
      <c r="A506" t="s">
        <v>88</v>
      </c>
      <c r="B506" t="s">
        <v>591</v>
      </c>
    </row>
    <row r="507" spans="1:2" x14ac:dyDescent="0.25">
      <c r="A507" t="s">
        <v>88</v>
      </c>
      <c r="B507" t="s">
        <v>592</v>
      </c>
    </row>
    <row r="508" spans="1:2" x14ac:dyDescent="0.25">
      <c r="A508" t="s">
        <v>88</v>
      </c>
      <c r="B508" t="s">
        <v>593</v>
      </c>
    </row>
    <row r="509" spans="1:2" x14ac:dyDescent="0.25">
      <c r="A509" t="s">
        <v>88</v>
      </c>
      <c r="B509" t="s">
        <v>594</v>
      </c>
    </row>
    <row r="510" spans="1:2" x14ac:dyDescent="0.25">
      <c r="A510" t="s">
        <v>113</v>
      </c>
      <c r="B510" t="s">
        <v>595</v>
      </c>
    </row>
    <row r="511" spans="1:2" x14ac:dyDescent="0.25">
      <c r="A511" t="s">
        <v>89</v>
      </c>
      <c r="B511" t="s">
        <v>596</v>
      </c>
    </row>
    <row r="512" spans="1:2" x14ac:dyDescent="0.25">
      <c r="A512" t="s">
        <v>114</v>
      </c>
      <c r="B512" t="s">
        <v>597</v>
      </c>
    </row>
    <row r="513" spans="1:2" x14ac:dyDescent="0.25">
      <c r="A513" t="s">
        <v>90</v>
      </c>
      <c r="B513" t="s">
        <v>598</v>
      </c>
    </row>
    <row r="514" spans="1:2" x14ac:dyDescent="0.25">
      <c r="A514" t="s">
        <v>90</v>
      </c>
      <c r="B514" t="s">
        <v>599</v>
      </c>
    </row>
    <row r="515" spans="1:2" x14ac:dyDescent="0.25">
      <c r="A515" t="s">
        <v>90</v>
      </c>
      <c r="B515" t="s">
        <v>600</v>
      </c>
    </row>
    <row r="516" spans="1:2" x14ac:dyDescent="0.25">
      <c r="A516" t="s">
        <v>90</v>
      </c>
      <c r="B516" t="s">
        <v>601</v>
      </c>
    </row>
    <row r="517" spans="1:2" x14ac:dyDescent="0.25">
      <c r="A517" t="s">
        <v>90</v>
      </c>
      <c r="B517" t="s">
        <v>602</v>
      </c>
    </row>
    <row r="518" spans="1:2" x14ac:dyDescent="0.25">
      <c r="A518" t="s">
        <v>90</v>
      </c>
      <c r="B518" t="s">
        <v>603</v>
      </c>
    </row>
    <row r="519" spans="1:2" x14ac:dyDescent="0.25">
      <c r="A519" t="s">
        <v>90</v>
      </c>
      <c r="B519" t="s">
        <v>604</v>
      </c>
    </row>
    <row r="520" spans="1:2" x14ac:dyDescent="0.25">
      <c r="A520" t="s">
        <v>115</v>
      </c>
      <c r="B520" t="s">
        <v>605</v>
      </c>
    </row>
    <row r="521" spans="1:2" x14ac:dyDescent="0.25">
      <c r="A521" t="s">
        <v>129</v>
      </c>
      <c r="B521" t="s">
        <v>606</v>
      </c>
    </row>
    <row r="522" spans="1:2" x14ac:dyDescent="0.25">
      <c r="A522" t="s">
        <v>141</v>
      </c>
      <c r="B522" t="s">
        <v>607</v>
      </c>
    </row>
    <row r="523" spans="1:2" x14ac:dyDescent="0.25">
      <c r="A523" t="s">
        <v>141</v>
      </c>
      <c r="B523" t="s">
        <v>608</v>
      </c>
    </row>
    <row r="524" spans="1:2" x14ac:dyDescent="0.25">
      <c r="A524" t="s">
        <v>151</v>
      </c>
      <c r="B524" t="s">
        <v>609</v>
      </c>
    </row>
    <row r="525" spans="1:2" x14ac:dyDescent="0.25">
      <c r="A525" t="s">
        <v>151</v>
      </c>
      <c r="B525" t="s">
        <v>610</v>
      </c>
    </row>
    <row r="526" spans="1:2" x14ac:dyDescent="0.25">
      <c r="A526" t="s">
        <v>151</v>
      </c>
      <c r="B526" t="s">
        <v>611</v>
      </c>
    </row>
    <row r="527" spans="1:2" x14ac:dyDescent="0.25">
      <c r="A527" t="s">
        <v>151</v>
      </c>
      <c r="B527" t="s">
        <v>612</v>
      </c>
    </row>
    <row r="528" spans="1:2" x14ac:dyDescent="0.25">
      <c r="A528" t="s">
        <v>159</v>
      </c>
      <c r="B528" t="s">
        <v>613</v>
      </c>
    </row>
    <row r="529" spans="1:2" x14ac:dyDescent="0.25">
      <c r="A529" t="s">
        <v>91</v>
      </c>
      <c r="B529" t="s">
        <v>614</v>
      </c>
    </row>
    <row r="530" spans="1:2" x14ac:dyDescent="0.25">
      <c r="A530" t="s">
        <v>116</v>
      </c>
      <c r="B530" t="s">
        <v>615</v>
      </c>
    </row>
    <row r="531" spans="1:2" x14ac:dyDescent="0.25">
      <c r="A531" t="s">
        <v>92</v>
      </c>
      <c r="B531" t="s">
        <v>616</v>
      </c>
    </row>
    <row r="532" spans="1:2" x14ac:dyDescent="0.25">
      <c r="A532" t="s">
        <v>92</v>
      </c>
      <c r="B532" t="s">
        <v>617</v>
      </c>
    </row>
    <row r="533" spans="1:2" x14ac:dyDescent="0.25">
      <c r="A533" t="s">
        <v>117</v>
      </c>
      <c r="B533" t="s">
        <v>618</v>
      </c>
    </row>
    <row r="534" spans="1:2" x14ac:dyDescent="0.25">
      <c r="A534" t="s">
        <v>117</v>
      </c>
      <c r="B534" t="s">
        <v>619</v>
      </c>
    </row>
    <row r="535" spans="1:2" x14ac:dyDescent="0.25">
      <c r="A535" t="s">
        <v>117</v>
      </c>
      <c r="B535" t="s">
        <v>620</v>
      </c>
    </row>
    <row r="536" spans="1:2" x14ac:dyDescent="0.25">
      <c r="A536" t="s">
        <v>117</v>
      </c>
      <c r="B536" t="s">
        <v>621</v>
      </c>
    </row>
    <row r="537" spans="1:2" x14ac:dyDescent="0.25">
      <c r="A537" t="s">
        <v>93</v>
      </c>
      <c r="B537" t="s">
        <v>622</v>
      </c>
    </row>
    <row r="538" spans="1:2" x14ac:dyDescent="0.25">
      <c r="A538" t="s">
        <v>93</v>
      </c>
      <c r="B538" t="s">
        <v>623</v>
      </c>
    </row>
    <row r="539" spans="1:2" x14ac:dyDescent="0.25">
      <c r="A539" t="s">
        <v>93</v>
      </c>
      <c r="B539" t="s">
        <v>624</v>
      </c>
    </row>
    <row r="540" spans="1:2" x14ac:dyDescent="0.25">
      <c r="A540" t="s">
        <v>93</v>
      </c>
      <c r="B540" t="s">
        <v>625</v>
      </c>
    </row>
    <row r="541" spans="1:2" x14ac:dyDescent="0.25">
      <c r="A541" t="s">
        <v>93</v>
      </c>
      <c r="B541" t="s">
        <v>626</v>
      </c>
    </row>
    <row r="542" spans="1:2" x14ac:dyDescent="0.25">
      <c r="A542" t="s">
        <v>118</v>
      </c>
      <c r="B542" t="s">
        <v>627</v>
      </c>
    </row>
    <row r="543" spans="1:2" x14ac:dyDescent="0.25">
      <c r="A543" t="s">
        <v>130</v>
      </c>
      <c r="B543" t="s">
        <v>628</v>
      </c>
    </row>
    <row r="544" spans="1:2" x14ac:dyDescent="0.25">
      <c r="A544" t="s">
        <v>130</v>
      </c>
      <c r="B544" t="s">
        <v>629</v>
      </c>
    </row>
    <row r="545" spans="1:2" x14ac:dyDescent="0.25">
      <c r="A545" t="s">
        <v>142</v>
      </c>
      <c r="B545" t="s">
        <v>630</v>
      </c>
    </row>
    <row r="546" spans="1:2" x14ac:dyDescent="0.25">
      <c r="A546" t="s">
        <v>142</v>
      </c>
      <c r="B546" t="s">
        <v>631</v>
      </c>
    </row>
    <row r="547" spans="1:2" x14ac:dyDescent="0.25">
      <c r="A547" t="s">
        <v>142</v>
      </c>
      <c r="B547" t="s">
        <v>632</v>
      </c>
    </row>
    <row r="548" spans="1:2" x14ac:dyDescent="0.25">
      <c r="A548" t="s">
        <v>142</v>
      </c>
      <c r="B548" t="s">
        <v>633</v>
      </c>
    </row>
    <row r="549" spans="1:2" x14ac:dyDescent="0.25">
      <c r="A549" t="s">
        <v>142</v>
      </c>
      <c r="B549" t="s">
        <v>634</v>
      </c>
    </row>
    <row r="550" spans="1:2" x14ac:dyDescent="0.25">
      <c r="A550" t="s">
        <v>152</v>
      </c>
      <c r="B550" t="s">
        <v>635</v>
      </c>
    </row>
    <row r="551" spans="1:2" x14ac:dyDescent="0.25">
      <c r="A551" t="s">
        <v>152</v>
      </c>
      <c r="B551" t="s">
        <v>636</v>
      </c>
    </row>
    <row r="552" spans="1:2" x14ac:dyDescent="0.25">
      <c r="A552" t="s">
        <v>160</v>
      </c>
      <c r="B552" t="s">
        <v>637</v>
      </c>
    </row>
    <row r="553" spans="1:2" x14ac:dyDescent="0.25">
      <c r="A553" t="s">
        <v>160</v>
      </c>
      <c r="B553" t="s">
        <v>638</v>
      </c>
    </row>
    <row r="554" spans="1:2" x14ac:dyDescent="0.25">
      <c r="A554" t="s">
        <v>160</v>
      </c>
      <c r="B554" t="s">
        <v>639</v>
      </c>
    </row>
    <row r="555" spans="1:2" x14ac:dyDescent="0.25">
      <c r="A555" t="s">
        <v>160</v>
      </c>
      <c r="B555" t="s">
        <v>640</v>
      </c>
    </row>
    <row r="556" spans="1:2" x14ac:dyDescent="0.25">
      <c r="A556" t="s">
        <v>160</v>
      </c>
      <c r="B556" t="s">
        <v>641</v>
      </c>
    </row>
    <row r="557" spans="1:2" x14ac:dyDescent="0.25">
      <c r="A557" t="s">
        <v>160</v>
      </c>
      <c r="B557" t="s">
        <v>642</v>
      </c>
    </row>
    <row r="558" spans="1:2" x14ac:dyDescent="0.25">
      <c r="A558" t="s">
        <v>165</v>
      </c>
      <c r="B558" t="s">
        <v>643</v>
      </c>
    </row>
    <row r="559" spans="1:2" x14ac:dyDescent="0.25">
      <c r="A559" t="s">
        <v>174</v>
      </c>
      <c r="B559" t="s">
        <v>644</v>
      </c>
    </row>
    <row r="560" spans="1:2" x14ac:dyDescent="0.25">
      <c r="A560" t="s">
        <v>174</v>
      </c>
      <c r="B560" t="s">
        <v>645</v>
      </c>
    </row>
    <row r="561" spans="1:2" x14ac:dyDescent="0.25">
      <c r="A561" t="s">
        <v>94</v>
      </c>
      <c r="B561" t="s">
        <v>646</v>
      </c>
    </row>
    <row r="562" spans="1:2" x14ac:dyDescent="0.25">
      <c r="A562" t="s">
        <v>119</v>
      </c>
      <c r="B562" t="s">
        <v>647</v>
      </c>
    </row>
    <row r="563" spans="1:2" x14ac:dyDescent="0.25">
      <c r="A563" t="s">
        <v>131</v>
      </c>
      <c r="B563" t="s">
        <v>648</v>
      </c>
    </row>
    <row r="564" spans="1:2" x14ac:dyDescent="0.25">
      <c r="A564" t="s">
        <v>131</v>
      </c>
      <c r="B564" t="s">
        <v>649</v>
      </c>
    </row>
    <row r="565" spans="1:2" x14ac:dyDescent="0.25">
      <c r="A565" t="s">
        <v>131</v>
      </c>
      <c r="B565" t="s">
        <v>650</v>
      </c>
    </row>
    <row r="566" spans="1:2" x14ac:dyDescent="0.25">
      <c r="A566" t="s">
        <v>131</v>
      </c>
      <c r="B566" t="s">
        <v>651</v>
      </c>
    </row>
    <row r="567" spans="1:2" x14ac:dyDescent="0.25">
      <c r="A567" t="s">
        <v>143</v>
      </c>
      <c r="B567" t="s">
        <v>652</v>
      </c>
    </row>
    <row r="568" spans="1:2" x14ac:dyDescent="0.25">
      <c r="A568" t="s">
        <v>143</v>
      </c>
      <c r="B568" t="s">
        <v>653</v>
      </c>
    </row>
    <row r="569" spans="1:2" x14ac:dyDescent="0.25">
      <c r="A569" t="s">
        <v>143</v>
      </c>
      <c r="B569" t="s">
        <v>654</v>
      </c>
    </row>
    <row r="570" spans="1:2" x14ac:dyDescent="0.25">
      <c r="A570" t="s">
        <v>143</v>
      </c>
      <c r="B570" t="s">
        <v>655</v>
      </c>
    </row>
    <row r="571" spans="1:2" x14ac:dyDescent="0.25">
      <c r="A571" t="s">
        <v>143</v>
      </c>
      <c r="B571" t="s">
        <v>656</v>
      </c>
    </row>
    <row r="572" spans="1:2" x14ac:dyDescent="0.25">
      <c r="A572" t="s">
        <v>143</v>
      </c>
      <c r="B572" t="s">
        <v>657</v>
      </c>
    </row>
    <row r="573" spans="1:2" x14ac:dyDescent="0.25">
      <c r="A573" t="s">
        <v>153</v>
      </c>
      <c r="B573" t="s">
        <v>658</v>
      </c>
    </row>
    <row r="574" spans="1:2" x14ac:dyDescent="0.25">
      <c r="A574" t="s">
        <v>153</v>
      </c>
      <c r="B574" t="s">
        <v>659</v>
      </c>
    </row>
    <row r="575" spans="1:2" x14ac:dyDescent="0.25">
      <c r="A575" t="s">
        <v>153</v>
      </c>
      <c r="B575" t="s">
        <v>660</v>
      </c>
    </row>
    <row r="576" spans="1:2" x14ac:dyDescent="0.25">
      <c r="A576" t="s">
        <v>153</v>
      </c>
      <c r="B576" t="s">
        <v>661</v>
      </c>
    </row>
    <row r="577" spans="1:2" x14ac:dyDescent="0.25">
      <c r="A577" t="s">
        <v>95</v>
      </c>
      <c r="B577" t="s">
        <v>662</v>
      </c>
    </row>
    <row r="578" spans="1:2" x14ac:dyDescent="0.25">
      <c r="A578" t="s">
        <v>95</v>
      </c>
      <c r="B578" t="s">
        <v>663</v>
      </c>
    </row>
    <row r="579" spans="1:2" x14ac:dyDescent="0.25">
      <c r="A579" t="s">
        <v>120</v>
      </c>
      <c r="B579" t="s">
        <v>664</v>
      </c>
    </row>
    <row r="580" spans="1:2" x14ac:dyDescent="0.25">
      <c r="A580" t="s">
        <v>120</v>
      </c>
      <c r="B580" t="s">
        <v>665</v>
      </c>
    </row>
    <row r="581" spans="1:2" x14ac:dyDescent="0.25">
      <c r="A581" t="s">
        <v>132</v>
      </c>
      <c r="B581" t="s">
        <v>666</v>
      </c>
    </row>
    <row r="582" spans="1:2" x14ac:dyDescent="0.25">
      <c r="A582" t="s">
        <v>144</v>
      </c>
      <c r="B582" t="s">
        <v>667</v>
      </c>
    </row>
    <row r="583" spans="1:2" x14ac:dyDescent="0.25">
      <c r="A583" t="s">
        <v>154</v>
      </c>
      <c r="B583" t="s">
        <v>668</v>
      </c>
    </row>
    <row r="584" spans="1:2" x14ac:dyDescent="0.25">
      <c r="A584" t="s">
        <v>161</v>
      </c>
      <c r="B584" t="s">
        <v>669</v>
      </c>
    </row>
    <row r="585" spans="1:2" x14ac:dyDescent="0.25">
      <c r="A585" t="s">
        <v>161</v>
      </c>
      <c r="B585" t="s">
        <v>670</v>
      </c>
    </row>
    <row r="586" spans="1:2" x14ac:dyDescent="0.25">
      <c r="A586" t="s">
        <v>166</v>
      </c>
      <c r="B586" t="s">
        <v>671</v>
      </c>
    </row>
    <row r="587" spans="1:2" x14ac:dyDescent="0.25">
      <c r="A587" t="s">
        <v>166</v>
      </c>
      <c r="B587" t="s">
        <v>672</v>
      </c>
    </row>
    <row r="588" spans="1:2" x14ac:dyDescent="0.25">
      <c r="A588" t="s">
        <v>166</v>
      </c>
      <c r="B588" t="s">
        <v>673</v>
      </c>
    </row>
    <row r="589" spans="1:2" x14ac:dyDescent="0.25">
      <c r="A589" t="s">
        <v>175</v>
      </c>
      <c r="B589" t="s">
        <v>674</v>
      </c>
    </row>
    <row r="590" spans="1:2" x14ac:dyDescent="0.25">
      <c r="A590" t="s">
        <v>175</v>
      </c>
      <c r="B590" t="s">
        <v>675</v>
      </c>
    </row>
    <row r="591" spans="1:2" x14ac:dyDescent="0.25">
      <c r="A591" t="s">
        <v>175</v>
      </c>
      <c r="B591" t="s">
        <v>676</v>
      </c>
    </row>
    <row r="592" spans="1:2" x14ac:dyDescent="0.25">
      <c r="A592" t="s">
        <v>175</v>
      </c>
      <c r="B592" t="s">
        <v>677</v>
      </c>
    </row>
    <row r="593" spans="1:2" x14ac:dyDescent="0.25">
      <c r="A593" t="s">
        <v>175</v>
      </c>
      <c r="B593" t="s">
        <v>678</v>
      </c>
    </row>
    <row r="594" spans="1:2" x14ac:dyDescent="0.25">
      <c r="A594" t="s">
        <v>96</v>
      </c>
      <c r="B594" t="s">
        <v>679</v>
      </c>
    </row>
    <row r="595" spans="1:2" x14ac:dyDescent="0.25">
      <c r="A595" t="s">
        <v>96</v>
      </c>
      <c r="B595" t="s">
        <v>680</v>
      </c>
    </row>
    <row r="596" spans="1:2" x14ac:dyDescent="0.25">
      <c r="A596" t="s">
        <v>121</v>
      </c>
      <c r="B596" t="s">
        <v>681</v>
      </c>
    </row>
    <row r="597" spans="1:2" x14ac:dyDescent="0.25">
      <c r="A597" t="s">
        <v>133</v>
      </c>
      <c r="B597" t="s">
        <v>682</v>
      </c>
    </row>
    <row r="598" spans="1:2" x14ac:dyDescent="0.25">
      <c r="A598" t="s">
        <v>145</v>
      </c>
      <c r="B598" t="s">
        <v>683</v>
      </c>
    </row>
    <row r="599" spans="1:2" x14ac:dyDescent="0.25">
      <c r="A599" t="s">
        <v>155</v>
      </c>
      <c r="B599" t="s">
        <v>684</v>
      </c>
    </row>
    <row r="600" spans="1:2" x14ac:dyDescent="0.25">
      <c r="A600" t="s">
        <v>155</v>
      </c>
      <c r="B600" t="s">
        <v>685</v>
      </c>
    </row>
    <row r="601" spans="1:2" x14ac:dyDescent="0.25">
      <c r="A601" t="s">
        <v>162</v>
      </c>
      <c r="B601" t="s">
        <v>686</v>
      </c>
    </row>
    <row r="602" spans="1:2" x14ac:dyDescent="0.25">
      <c r="A602" t="s">
        <v>167</v>
      </c>
      <c r="B602" t="s">
        <v>687</v>
      </c>
    </row>
    <row r="603" spans="1:2" x14ac:dyDescent="0.25">
      <c r="A603" t="s">
        <v>169</v>
      </c>
      <c r="B603" t="s">
        <v>688</v>
      </c>
    </row>
    <row r="604" spans="1:2" x14ac:dyDescent="0.25">
      <c r="A604" t="s">
        <v>97</v>
      </c>
      <c r="B604" t="s">
        <v>689</v>
      </c>
    </row>
    <row r="605" spans="1:2" x14ac:dyDescent="0.25">
      <c r="A605" t="s">
        <v>97</v>
      </c>
      <c r="B605" t="s">
        <v>690</v>
      </c>
    </row>
    <row r="606" spans="1:2" x14ac:dyDescent="0.25">
      <c r="A606" t="s">
        <v>122</v>
      </c>
      <c r="B606" t="s">
        <v>691</v>
      </c>
    </row>
    <row r="607" spans="1:2" x14ac:dyDescent="0.25">
      <c r="A607" t="s">
        <v>134</v>
      </c>
      <c r="B607" t="s">
        <v>692</v>
      </c>
    </row>
    <row r="608" spans="1:2" x14ac:dyDescent="0.25">
      <c r="A608" t="s">
        <v>134</v>
      </c>
      <c r="B608" t="s">
        <v>693</v>
      </c>
    </row>
    <row r="609" spans="1:2" x14ac:dyDescent="0.25">
      <c r="A609" t="s">
        <v>134</v>
      </c>
      <c r="B609" t="s">
        <v>694</v>
      </c>
    </row>
    <row r="610" spans="1:2" x14ac:dyDescent="0.25">
      <c r="A610" t="s">
        <v>146</v>
      </c>
      <c r="B610" t="s">
        <v>695</v>
      </c>
    </row>
    <row r="611" spans="1:2" x14ac:dyDescent="0.25">
      <c r="A611" t="s">
        <v>156</v>
      </c>
      <c r="B611" t="s">
        <v>696</v>
      </c>
    </row>
    <row r="612" spans="1:2" x14ac:dyDescent="0.25">
      <c r="A612" t="s">
        <v>156</v>
      </c>
      <c r="B612" t="s">
        <v>697</v>
      </c>
    </row>
    <row r="613" spans="1:2" x14ac:dyDescent="0.25">
      <c r="A613" t="s">
        <v>176</v>
      </c>
      <c r="B613" t="s">
        <v>698</v>
      </c>
    </row>
    <row r="614" spans="1:2" x14ac:dyDescent="0.25">
      <c r="A614" t="s">
        <v>98</v>
      </c>
      <c r="B614" t="s">
        <v>699</v>
      </c>
    </row>
    <row r="615" spans="1:2" x14ac:dyDescent="0.25">
      <c r="A615" t="s">
        <v>98</v>
      </c>
      <c r="B615" t="s">
        <v>700</v>
      </c>
    </row>
    <row r="616" spans="1:2" x14ac:dyDescent="0.25">
      <c r="A616" t="s">
        <v>98</v>
      </c>
      <c r="B616" t="s">
        <v>701</v>
      </c>
    </row>
    <row r="617" spans="1:2" x14ac:dyDescent="0.25">
      <c r="A617" t="s">
        <v>98</v>
      </c>
      <c r="B617" t="s">
        <v>702</v>
      </c>
    </row>
    <row r="618" spans="1:2" x14ac:dyDescent="0.25">
      <c r="A618" t="s">
        <v>98</v>
      </c>
      <c r="B618" t="s">
        <v>703</v>
      </c>
    </row>
    <row r="619" spans="1:2" x14ac:dyDescent="0.25">
      <c r="A619" t="s">
        <v>123</v>
      </c>
      <c r="B619" t="s">
        <v>704</v>
      </c>
    </row>
    <row r="620" spans="1:2" x14ac:dyDescent="0.25">
      <c r="A620" t="s">
        <v>123</v>
      </c>
      <c r="B620" t="s">
        <v>705</v>
      </c>
    </row>
    <row r="621" spans="1:2" x14ac:dyDescent="0.25">
      <c r="A621" t="s">
        <v>123</v>
      </c>
      <c r="B621" t="s">
        <v>706</v>
      </c>
    </row>
    <row r="622" spans="1:2" x14ac:dyDescent="0.25">
      <c r="A622" t="s">
        <v>123</v>
      </c>
      <c r="B622" t="s">
        <v>707</v>
      </c>
    </row>
    <row r="623" spans="1:2" x14ac:dyDescent="0.25">
      <c r="A623" t="s">
        <v>123</v>
      </c>
      <c r="B623" t="s">
        <v>708</v>
      </c>
    </row>
    <row r="624" spans="1:2" x14ac:dyDescent="0.25">
      <c r="A624" t="s">
        <v>123</v>
      </c>
      <c r="B624" t="s">
        <v>709</v>
      </c>
    </row>
    <row r="625" spans="1:2" x14ac:dyDescent="0.25">
      <c r="A625" t="s">
        <v>135</v>
      </c>
      <c r="B625" t="s">
        <v>710</v>
      </c>
    </row>
    <row r="626" spans="1:2" x14ac:dyDescent="0.25">
      <c r="A626" t="s">
        <v>147</v>
      </c>
      <c r="B626" t="s">
        <v>711</v>
      </c>
    </row>
    <row r="627" spans="1:2" x14ac:dyDescent="0.25">
      <c r="A627" t="s">
        <v>147</v>
      </c>
      <c r="B627" t="s">
        <v>712</v>
      </c>
    </row>
    <row r="628" spans="1:2" x14ac:dyDescent="0.25">
      <c r="A628" t="s">
        <v>177</v>
      </c>
      <c r="B628" t="s">
        <v>713</v>
      </c>
    </row>
    <row r="629" spans="1:2" x14ac:dyDescent="0.25">
      <c r="A629" t="s">
        <v>177</v>
      </c>
      <c r="B629" t="s">
        <v>714</v>
      </c>
    </row>
    <row r="630" spans="1:2" x14ac:dyDescent="0.25">
      <c r="A630" t="s">
        <v>177</v>
      </c>
      <c r="B630" t="s">
        <v>715</v>
      </c>
    </row>
    <row r="631" spans="1:2" x14ac:dyDescent="0.25">
      <c r="A631" t="s">
        <v>177</v>
      </c>
      <c r="B631" t="s">
        <v>716</v>
      </c>
    </row>
    <row r="632" spans="1:2" x14ac:dyDescent="0.25">
      <c r="A632" t="s">
        <v>177</v>
      </c>
      <c r="B632" t="s">
        <v>717</v>
      </c>
    </row>
    <row r="633" spans="1:2" x14ac:dyDescent="0.25">
      <c r="A633" t="s">
        <v>177</v>
      </c>
      <c r="B633" t="s">
        <v>718</v>
      </c>
    </row>
    <row r="634" spans="1:2" x14ac:dyDescent="0.25">
      <c r="A634" t="s">
        <v>177</v>
      </c>
      <c r="B634" t="s">
        <v>719</v>
      </c>
    </row>
    <row r="635" spans="1:2" x14ac:dyDescent="0.25">
      <c r="A635" t="s">
        <v>99</v>
      </c>
      <c r="B635" t="s">
        <v>720</v>
      </c>
    </row>
    <row r="636" spans="1:2" x14ac:dyDescent="0.25">
      <c r="A636" t="s">
        <v>181</v>
      </c>
      <c r="B636" t="s">
        <v>721</v>
      </c>
    </row>
    <row r="637" spans="1:2" x14ac:dyDescent="0.25">
      <c r="A637" t="s">
        <v>136</v>
      </c>
      <c r="B637" t="s">
        <v>722</v>
      </c>
    </row>
    <row r="638" spans="1:2" x14ac:dyDescent="0.25">
      <c r="A638" t="s">
        <v>136</v>
      </c>
      <c r="B638" t="s">
        <v>723</v>
      </c>
    </row>
    <row r="639" spans="1:2" x14ac:dyDescent="0.25">
      <c r="A639" t="s">
        <v>100</v>
      </c>
      <c r="B639" t="s">
        <v>724</v>
      </c>
    </row>
    <row r="640" spans="1:2" x14ac:dyDescent="0.25">
      <c r="A640" t="s">
        <v>100</v>
      </c>
      <c r="B640" t="s">
        <v>725</v>
      </c>
    </row>
    <row r="641" spans="1:2" x14ac:dyDescent="0.25">
      <c r="A641" t="s">
        <v>182</v>
      </c>
      <c r="B641" t="s">
        <v>726</v>
      </c>
    </row>
    <row r="642" spans="1:2" x14ac:dyDescent="0.25">
      <c r="A642" t="s">
        <v>137</v>
      </c>
      <c r="B642" t="s">
        <v>727</v>
      </c>
    </row>
    <row r="643" spans="1:2" x14ac:dyDescent="0.25">
      <c r="A643" t="s">
        <v>148</v>
      </c>
      <c r="B643" t="s">
        <v>728</v>
      </c>
    </row>
    <row r="644" spans="1:2" x14ac:dyDescent="0.25">
      <c r="A644" t="s">
        <v>178</v>
      </c>
      <c r="B644" t="s">
        <v>729</v>
      </c>
    </row>
    <row r="645" spans="1:2" x14ac:dyDescent="0.25">
      <c r="A645" t="s">
        <v>178</v>
      </c>
      <c r="B645" t="s">
        <v>730</v>
      </c>
    </row>
    <row r="646" spans="1:2" x14ac:dyDescent="0.25">
      <c r="A646" t="s">
        <v>178</v>
      </c>
      <c r="B646" t="s">
        <v>731</v>
      </c>
    </row>
    <row r="647" spans="1:2" x14ac:dyDescent="0.25">
      <c r="A647" t="s">
        <v>183</v>
      </c>
      <c r="B647" t="s">
        <v>732</v>
      </c>
    </row>
    <row r="648" spans="1:2" x14ac:dyDescent="0.25">
      <c r="A648" t="s">
        <v>183</v>
      </c>
      <c r="B648" t="s">
        <v>733</v>
      </c>
    </row>
    <row r="649" spans="1:2" x14ac:dyDescent="0.25">
      <c r="A649" t="s">
        <v>183</v>
      </c>
      <c r="B649" t="s">
        <v>734</v>
      </c>
    </row>
    <row r="650" spans="1:2" x14ac:dyDescent="0.25">
      <c r="A650" t="s">
        <v>183</v>
      </c>
      <c r="B650" t="s">
        <v>735</v>
      </c>
    </row>
    <row r="651" spans="1:2" x14ac:dyDescent="0.25">
      <c r="A651" t="s">
        <v>184</v>
      </c>
      <c r="B651" t="s">
        <v>736</v>
      </c>
    </row>
    <row r="652" spans="1:2" x14ac:dyDescent="0.25">
      <c r="A652" t="s">
        <v>184</v>
      </c>
      <c r="B652" t="s">
        <v>737</v>
      </c>
    </row>
    <row r="653" spans="1:2" x14ac:dyDescent="0.25">
      <c r="A653" t="s">
        <v>184</v>
      </c>
      <c r="B653" t="s">
        <v>738</v>
      </c>
    </row>
    <row r="654" spans="1:2" x14ac:dyDescent="0.25">
      <c r="A654" t="s">
        <v>185</v>
      </c>
      <c r="B654" t="s">
        <v>739</v>
      </c>
    </row>
    <row r="655" spans="1:2" x14ac:dyDescent="0.25">
      <c r="A655" t="s">
        <v>186</v>
      </c>
      <c r="B655" t="s">
        <v>740</v>
      </c>
    </row>
    <row r="656" spans="1:2" x14ac:dyDescent="0.25">
      <c r="A656" t="s">
        <v>187</v>
      </c>
      <c r="B656" t="s">
        <v>741</v>
      </c>
    </row>
    <row r="657" spans="1:2" x14ac:dyDescent="0.25">
      <c r="A657" t="s">
        <v>188</v>
      </c>
      <c r="B657" t="s">
        <v>742</v>
      </c>
    </row>
    <row r="658" spans="1:2" x14ac:dyDescent="0.25">
      <c r="A658" t="s">
        <v>189</v>
      </c>
      <c r="B658" t="s">
        <v>743</v>
      </c>
    </row>
    <row r="659" spans="1:2" x14ac:dyDescent="0.25">
      <c r="A659" t="s">
        <v>189</v>
      </c>
      <c r="B659" t="s">
        <v>744</v>
      </c>
    </row>
    <row r="660" spans="1:2" x14ac:dyDescent="0.25">
      <c r="A660" t="s">
        <v>190</v>
      </c>
      <c r="B660" t="s">
        <v>745</v>
      </c>
    </row>
    <row r="661" spans="1:2" x14ac:dyDescent="0.25">
      <c r="A661" t="s">
        <v>190</v>
      </c>
      <c r="B661" t="s">
        <v>746</v>
      </c>
    </row>
    <row r="662" spans="1:2" x14ac:dyDescent="0.25">
      <c r="A662" t="s">
        <v>190</v>
      </c>
      <c r="B662" t="s">
        <v>747</v>
      </c>
    </row>
    <row r="663" spans="1:2" x14ac:dyDescent="0.25">
      <c r="A663" t="s">
        <v>190</v>
      </c>
      <c r="B663" t="s">
        <v>748</v>
      </c>
    </row>
    <row r="664" spans="1:2" x14ac:dyDescent="0.25">
      <c r="A664" t="s">
        <v>190</v>
      </c>
      <c r="B664" t="s">
        <v>749</v>
      </c>
    </row>
    <row r="665" spans="1:2" x14ac:dyDescent="0.25">
      <c r="A665" t="s">
        <v>190</v>
      </c>
      <c r="B665" t="s">
        <v>750</v>
      </c>
    </row>
    <row r="666" spans="1:2" x14ac:dyDescent="0.25">
      <c r="A666" t="s">
        <v>190</v>
      </c>
      <c r="B666" t="s">
        <v>751</v>
      </c>
    </row>
    <row r="667" spans="1:2" x14ac:dyDescent="0.25">
      <c r="A667" t="s">
        <v>190</v>
      </c>
      <c r="B667" t="s">
        <v>752</v>
      </c>
    </row>
    <row r="668" spans="1:2" x14ac:dyDescent="0.25">
      <c r="A668" t="s">
        <v>191</v>
      </c>
      <c r="B668" t="s">
        <v>753</v>
      </c>
    </row>
    <row r="669" spans="1:2" x14ac:dyDescent="0.25">
      <c r="A669" t="s">
        <v>192</v>
      </c>
      <c r="B669" t="s">
        <v>754</v>
      </c>
    </row>
    <row r="670" spans="1:2" x14ac:dyDescent="0.25">
      <c r="A670" t="s">
        <v>192</v>
      </c>
      <c r="B670" t="s">
        <v>755</v>
      </c>
    </row>
    <row r="671" spans="1:2" x14ac:dyDescent="0.25">
      <c r="A671" t="s">
        <v>192</v>
      </c>
      <c r="B671" t="s">
        <v>756</v>
      </c>
    </row>
    <row r="672" spans="1:2" x14ac:dyDescent="0.25">
      <c r="A672" t="s">
        <v>192</v>
      </c>
      <c r="B672" t="s">
        <v>757</v>
      </c>
    </row>
    <row r="673" spans="1:2" x14ac:dyDescent="0.25">
      <c r="A673" t="s">
        <v>193</v>
      </c>
      <c r="B673" t="s">
        <v>758</v>
      </c>
    </row>
    <row r="674" spans="1:2" x14ac:dyDescent="0.25">
      <c r="A674" t="s">
        <v>193</v>
      </c>
      <c r="B674" t="s">
        <v>759</v>
      </c>
    </row>
    <row r="675" spans="1:2" x14ac:dyDescent="0.25">
      <c r="A675" t="s">
        <v>193</v>
      </c>
      <c r="B675" t="s">
        <v>760</v>
      </c>
    </row>
    <row r="676" spans="1:2" x14ac:dyDescent="0.25">
      <c r="A676" t="s">
        <v>194</v>
      </c>
      <c r="B676" t="s">
        <v>761</v>
      </c>
    </row>
    <row r="677" spans="1:2" x14ac:dyDescent="0.25">
      <c r="A677" t="s">
        <v>195</v>
      </c>
      <c r="B677" t="s">
        <v>762</v>
      </c>
    </row>
    <row r="678" spans="1:2" x14ac:dyDescent="0.25">
      <c r="A678" t="s">
        <v>196</v>
      </c>
      <c r="B678" t="s">
        <v>763</v>
      </c>
    </row>
    <row r="679" spans="1:2" x14ac:dyDescent="0.25">
      <c r="A679" t="s">
        <v>197</v>
      </c>
      <c r="B679" t="s">
        <v>764</v>
      </c>
    </row>
    <row r="680" spans="1:2" x14ac:dyDescent="0.25">
      <c r="A680" t="s">
        <v>197</v>
      </c>
      <c r="B680" t="s">
        <v>765</v>
      </c>
    </row>
    <row r="681" spans="1:2" x14ac:dyDescent="0.25">
      <c r="A681" t="s">
        <v>198</v>
      </c>
      <c r="B681" t="s">
        <v>766</v>
      </c>
    </row>
    <row r="682" spans="1:2" x14ac:dyDescent="0.25">
      <c r="A682" t="s">
        <v>198</v>
      </c>
      <c r="B682" t="s">
        <v>767</v>
      </c>
    </row>
    <row r="683" spans="1:2" x14ac:dyDescent="0.25">
      <c r="A683" t="s">
        <v>199</v>
      </c>
      <c r="B683" t="s">
        <v>768</v>
      </c>
    </row>
    <row r="684" spans="1:2" x14ac:dyDescent="0.25">
      <c r="A684" t="s">
        <v>199</v>
      </c>
      <c r="B684" t="s">
        <v>769</v>
      </c>
    </row>
    <row r="685" spans="1:2" x14ac:dyDescent="0.25">
      <c r="A685" t="s">
        <v>200</v>
      </c>
      <c r="B685" t="s">
        <v>770</v>
      </c>
    </row>
    <row r="686" spans="1:2" x14ac:dyDescent="0.25">
      <c r="A686" t="s">
        <v>201</v>
      </c>
      <c r="B686" t="s">
        <v>771</v>
      </c>
    </row>
    <row r="687" spans="1:2" x14ac:dyDescent="0.25">
      <c r="A687" t="s">
        <v>202</v>
      </c>
      <c r="B687" t="s">
        <v>772</v>
      </c>
    </row>
    <row r="688" spans="1:2" x14ac:dyDescent="0.25">
      <c r="A688" t="s">
        <v>203</v>
      </c>
      <c r="B688" t="s">
        <v>773</v>
      </c>
    </row>
    <row r="689" spans="1:2" x14ac:dyDescent="0.25">
      <c r="A689" t="s">
        <v>203</v>
      </c>
      <c r="B689" t="s">
        <v>774</v>
      </c>
    </row>
    <row r="690" spans="1:2" x14ac:dyDescent="0.25">
      <c r="A690" t="s">
        <v>203</v>
      </c>
      <c r="B690" t="s">
        <v>775</v>
      </c>
    </row>
    <row r="691" spans="1:2" x14ac:dyDescent="0.25">
      <c r="A691" t="s">
        <v>204</v>
      </c>
      <c r="B691" t="s">
        <v>776</v>
      </c>
    </row>
    <row r="692" spans="1:2" x14ac:dyDescent="0.25">
      <c r="A692" t="s">
        <v>204</v>
      </c>
      <c r="B692" t="s">
        <v>777</v>
      </c>
    </row>
    <row r="693" spans="1:2" x14ac:dyDescent="0.25">
      <c r="A693" t="s">
        <v>205</v>
      </c>
      <c r="B693" t="s">
        <v>778</v>
      </c>
    </row>
    <row r="694" spans="1:2" x14ac:dyDescent="0.25">
      <c r="A694" t="s">
        <v>205</v>
      </c>
      <c r="B694" t="s">
        <v>779</v>
      </c>
    </row>
    <row r="695" spans="1:2" x14ac:dyDescent="0.25">
      <c r="A695" t="s">
        <v>206</v>
      </c>
      <c r="B695" t="s">
        <v>780</v>
      </c>
    </row>
    <row r="696" spans="1:2" x14ac:dyDescent="0.25">
      <c r="A696" t="s">
        <v>206</v>
      </c>
      <c r="B696" t="s">
        <v>781</v>
      </c>
    </row>
    <row r="697" spans="1:2" x14ac:dyDescent="0.25">
      <c r="A697" t="s">
        <v>206</v>
      </c>
      <c r="B697" t="s">
        <v>782</v>
      </c>
    </row>
    <row r="698" spans="1:2" x14ac:dyDescent="0.25">
      <c r="A698" t="s">
        <v>207</v>
      </c>
      <c r="B698" t="s">
        <v>783</v>
      </c>
    </row>
    <row r="699" spans="1:2" x14ac:dyDescent="0.25">
      <c r="A699" t="s">
        <v>207</v>
      </c>
      <c r="B699" t="s">
        <v>784</v>
      </c>
    </row>
    <row r="700" spans="1:2" x14ac:dyDescent="0.25">
      <c r="A700" t="s">
        <v>207</v>
      </c>
      <c r="B700" t="s">
        <v>785</v>
      </c>
    </row>
    <row r="701" spans="1:2" x14ac:dyDescent="0.25">
      <c r="A701" t="s">
        <v>208</v>
      </c>
      <c r="B701" t="s">
        <v>786</v>
      </c>
    </row>
    <row r="702" spans="1:2" x14ac:dyDescent="0.25">
      <c r="A702" t="s">
        <v>208</v>
      </c>
      <c r="B702" t="s">
        <v>787</v>
      </c>
    </row>
    <row r="703" spans="1:2" x14ac:dyDescent="0.25">
      <c r="A703" t="s">
        <v>208</v>
      </c>
      <c r="B703" t="s">
        <v>788</v>
      </c>
    </row>
    <row r="704" spans="1:2" x14ac:dyDescent="0.25">
      <c r="A704" t="s">
        <v>208</v>
      </c>
      <c r="B704" t="s">
        <v>789</v>
      </c>
    </row>
    <row r="705" spans="1:2" x14ac:dyDescent="0.25">
      <c r="A705" t="s">
        <v>208</v>
      </c>
      <c r="B705" t="s">
        <v>790</v>
      </c>
    </row>
    <row r="706" spans="1:2" x14ac:dyDescent="0.25">
      <c r="A706" t="s">
        <v>209</v>
      </c>
      <c r="B706" t="s">
        <v>791</v>
      </c>
    </row>
    <row r="707" spans="1:2" x14ac:dyDescent="0.25">
      <c r="A707" t="s">
        <v>209</v>
      </c>
      <c r="B707" t="s">
        <v>792</v>
      </c>
    </row>
    <row r="708" spans="1:2" x14ac:dyDescent="0.25">
      <c r="A708" t="s">
        <v>210</v>
      </c>
      <c r="B708" t="s">
        <v>793</v>
      </c>
    </row>
    <row r="709" spans="1:2" x14ac:dyDescent="0.25">
      <c r="A709" t="s">
        <v>210</v>
      </c>
      <c r="B709" t="s">
        <v>794</v>
      </c>
    </row>
    <row r="710" spans="1:2" x14ac:dyDescent="0.25">
      <c r="A710" t="s">
        <v>211</v>
      </c>
      <c r="B710" t="s">
        <v>795</v>
      </c>
    </row>
    <row r="711" spans="1:2" x14ac:dyDescent="0.25">
      <c r="A711" t="s">
        <v>212</v>
      </c>
      <c r="B711" t="s">
        <v>796</v>
      </c>
    </row>
    <row r="712" spans="1:2" x14ac:dyDescent="0.25">
      <c r="A712" t="s">
        <v>212</v>
      </c>
      <c r="B712" t="s">
        <v>797</v>
      </c>
    </row>
    <row r="713" spans="1:2" x14ac:dyDescent="0.25">
      <c r="A713" t="s">
        <v>213</v>
      </c>
      <c r="B713" t="s">
        <v>798</v>
      </c>
    </row>
    <row r="714" spans="1:2" x14ac:dyDescent="0.25">
      <c r="A714" t="s">
        <v>214</v>
      </c>
      <c r="B714" t="s">
        <v>799</v>
      </c>
    </row>
    <row r="715" spans="1:2" x14ac:dyDescent="0.25">
      <c r="A715" t="s">
        <v>214</v>
      </c>
      <c r="B715" t="s">
        <v>800</v>
      </c>
    </row>
    <row r="716" spans="1:2" x14ac:dyDescent="0.25">
      <c r="A716" t="s">
        <v>214</v>
      </c>
      <c r="B716" t="s">
        <v>801</v>
      </c>
    </row>
    <row r="717" spans="1:2" x14ac:dyDescent="0.25">
      <c r="A717" t="s">
        <v>214</v>
      </c>
      <c r="B717" t="s">
        <v>802</v>
      </c>
    </row>
    <row r="718" spans="1:2" x14ac:dyDescent="0.25">
      <c r="A718" t="s">
        <v>214</v>
      </c>
      <c r="B718" t="s">
        <v>803</v>
      </c>
    </row>
    <row r="719" spans="1:2" x14ac:dyDescent="0.25">
      <c r="A719" t="s">
        <v>214</v>
      </c>
      <c r="B719" t="s">
        <v>804</v>
      </c>
    </row>
    <row r="720" spans="1:2" x14ac:dyDescent="0.25">
      <c r="A720" t="s">
        <v>214</v>
      </c>
      <c r="B720" t="s">
        <v>805</v>
      </c>
    </row>
    <row r="721" spans="1:2" x14ac:dyDescent="0.25">
      <c r="A721" t="s">
        <v>214</v>
      </c>
      <c r="B721" t="s">
        <v>806</v>
      </c>
    </row>
    <row r="722" spans="1:2" x14ac:dyDescent="0.25">
      <c r="A722" t="s">
        <v>214</v>
      </c>
      <c r="B722" t="s">
        <v>807</v>
      </c>
    </row>
    <row r="723" spans="1:2" x14ac:dyDescent="0.25">
      <c r="A723" t="s">
        <v>215</v>
      </c>
      <c r="B723" t="s">
        <v>808</v>
      </c>
    </row>
    <row r="724" spans="1:2" x14ac:dyDescent="0.25">
      <c r="A724" t="s">
        <v>215</v>
      </c>
      <c r="B724" t="s">
        <v>809</v>
      </c>
    </row>
    <row r="725" spans="1:2" x14ac:dyDescent="0.25">
      <c r="A725" t="s">
        <v>215</v>
      </c>
      <c r="B725" t="s">
        <v>810</v>
      </c>
    </row>
    <row r="726" spans="1:2" x14ac:dyDescent="0.25">
      <c r="A726" t="s">
        <v>215</v>
      </c>
      <c r="B726" t="s">
        <v>811</v>
      </c>
    </row>
    <row r="727" spans="1:2" x14ac:dyDescent="0.25">
      <c r="A727" t="s">
        <v>216</v>
      </c>
      <c r="B727" t="s">
        <v>812</v>
      </c>
    </row>
    <row r="728" spans="1:2" x14ac:dyDescent="0.25">
      <c r="A728" t="s">
        <v>216</v>
      </c>
      <c r="B728" t="s">
        <v>813</v>
      </c>
    </row>
    <row r="729" spans="1:2" x14ac:dyDescent="0.25">
      <c r="A729" t="s">
        <v>216</v>
      </c>
      <c r="B729" t="s">
        <v>814</v>
      </c>
    </row>
    <row r="730" spans="1:2" x14ac:dyDescent="0.25">
      <c r="A730" t="s">
        <v>216</v>
      </c>
      <c r="B730" t="s">
        <v>815</v>
      </c>
    </row>
    <row r="731" spans="1:2" x14ac:dyDescent="0.25">
      <c r="A731" t="s">
        <v>216</v>
      </c>
      <c r="B731" t="s">
        <v>816</v>
      </c>
    </row>
    <row r="732" spans="1:2" x14ac:dyDescent="0.25">
      <c r="A732" t="s">
        <v>216</v>
      </c>
      <c r="B732" t="s">
        <v>817</v>
      </c>
    </row>
    <row r="733" spans="1:2" x14ac:dyDescent="0.25">
      <c r="A733" t="s">
        <v>216</v>
      </c>
      <c r="B733" t="s">
        <v>818</v>
      </c>
    </row>
    <row r="734" spans="1:2" x14ac:dyDescent="0.25">
      <c r="A734" t="s">
        <v>216</v>
      </c>
      <c r="B734" t="s">
        <v>819</v>
      </c>
    </row>
    <row r="735" spans="1:2" x14ac:dyDescent="0.25">
      <c r="A735" t="s">
        <v>216</v>
      </c>
      <c r="B735" t="s">
        <v>820</v>
      </c>
    </row>
    <row r="736" spans="1:2" x14ac:dyDescent="0.25">
      <c r="A736" t="s">
        <v>217</v>
      </c>
      <c r="B736" t="s">
        <v>821</v>
      </c>
    </row>
    <row r="737" spans="1:2" x14ac:dyDescent="0.25">
      <c r="A737" t="s">
        <v>217</v>
      </c>
      <c r="B737" t="s">
        <v>822</v>
      </c>
    </row>
    <row r="738" spans="1:2" x14ac:dyDescent="0.25">
      <c r="A738" t="s">
        <v>217</v>
      </c>
      <c r="B738" t="s">
        <v>823</v>
      </c>
    </row>
    <row r="739" spans="1:2" x14ac:dyDescent="0.25">
      <c r="A739" t="s">
        <v>217</v>
      </c>
      <c r="B739" t="s">
        <v>824</v>
      </c>
    </row>
    <row r="740" spans="1:2" x14ac:dyDescent="0.25">
      <c r="A740" t="s">
        <v>217</v>
      </c>
      <c r="B740" t="s">
        <v>825</v>
      </c>
    </row>
    <row r="741" spans="1:2" x14ac:dyDescent="0.25">
      <c r="A741" t="s">
        <v>217</v>
      </c>
      <c r="B741" t="s">
        <v>826</v>
      </c>
    </row>
    <row r="742" spans="1:2" x14ac:dyDescent="0.25">
      <c r="A742" t="s">
        <v>217</v>
      </c>
      <c r="B742" t="s">
        <v>827</v>
      </c>
    </row>
    <row r="743" spans="1:2" x14ac:dyDescent="0.25">
      <c r="A743" t="s">
        <v>217</v>
      </c>
      <c r="B743" t="s">
        <v>828</v>
      </c>
    </row>
    <row r="744" spans="1:2" x14ac:dyDescent="0.25">
      <c r="A744" t="s">
        <v>217</v>
      </c>
      <c r="B744" t="s">
        <v>829</v>
      </c>
    </row>
    <row r="745" spans="1:2" x14ac:dyDescent="0.25">
      <c r="A745" t="s">
        <v>218</v>
      </c>
      <c r="B745" t="s">
        <v>830</v>
      </c>
    </row>
    <row r="746" spans="1:2" x14ac:dyDescent="0.25">
      <c r="A746" t="s">
        <v>218</v>
      </c>
      <c r="B746" t="s">
        <v>831</v>
      </c>
    </row>
    <row r="747" spans="1:2" x14ac:dyDescent="0.25">
      <c r="A747" t="s">
        <v>219</v>
      </c>
      <c r="B747" t="s">
        <v>832</v>
      </c>
    </row>
    <row r="748" spans="1:2" x14ac:dyDescent="0.25">
      <c r="A748" t="s">
        <v>219</v>
      </c>
      <c r="B748" t="s">
        <v>833</v>
      </c>
    </row>
    <row r="749" spans="1:2" x14ac:dyDescent="0.25">
      <c r="A749" t="s">
        <v>219</v>
      </c>
      <c r="B749" t="s">
        <v>834</v>
      </c>
    </row>
    <row r="750" spans="1:2" x14ac:dyDescent="0.25">
      <c r="A750" t="s">
        <v>219</v>
      </c>
      <c r="B750" t="s">
        <v>835</v>
      </c>
    </row>
    <row r="751" spans="1:2" x14ac:dyDescent="0.25">
      <c r="A751" t="s">
        <v>219</v>
      </c>
      <c r="B751" t="s">
        <v>836</v>
      </c>
    </row>
    <row r="752" spans="1:2" x14ac:dyDescent="0.25">
      <c r="A752" t="s">
        <v>219</v>
      </c>
      <c r="B752" t="s">
        <v>837</v>
      </c>
    </row>
    <row r="753" spans="1:2" x14ac:dyDescent="0.25">
      <c r="A753" t="s">
        <v>219</v>
      </c>
      <c r="B753" t="s">
        <v>838</v>
      </c>
    </row>
    <row r="754" spans="1:2" x14ac:dyDescent="0.25">
      <c r="A754" t="s">
        <v>220</v>
      </c>
      <c r="B754" t="s">
        <v>839</v>
      </c>
    </row>
    <row r="755" spans="1:2" x14ac:dyDescent="0.25">
      <c r="A755" t="s">
        <v>220</v>
      </c>
      <c r="B755" t="s">
        <v>840</v>
      </c>
    </row>
    <row r="756" spans="1:2" x14ac:dyDescent="0.25">
      <c r="A756" t="s">
        <v>220</v>
      </c>
      <c r="B756" t="s">
        <v>841</v>
      </c>
    </row>
    <row r="757" spans="1:2" x14ac:dyDescent="0.25">
      <c r="A757" t="s">
        <v>220</v>
      </c>
      <c r="B757" t="s">
        <v>842</v>
      </c>
    </row>
    <row r="758" spans="1:2" x14ac:dyDescent="0.25">
      <c r="A758" t="s">
        <v>220</v>
      </c>
      <c r="B758" t="s">
        <v>843</v>
      </c>
    </row>
    <row r="759" spans="1:2" x14ac:dyDescent="0.25">
      <c r="A759" t="s">
        <v>220</v>
      </c>
      <c r="B759" t="s">
        <v>844</v>
      </c>
    </row>
    <row r="760" spans="1:2" x14ac:dyDescent="0.25">
      <c r="A760" t="s">
        <v>220</v>
      </c>
      <c r="B760" t="s">
        <v>845</v>
      </c>
    </row>
    <row r="761" spans="1:2" x14ac:dyDescent="0.25">
      <c r="A761" t="s">
        <v>221</v>
      </c>
      <c r="B761" t="s">
        <v>846</v>
      </c>
    </row>
    <row r="762" spans="1:2" x14ac:dyDescent="0.25">
      <c r="A762" t="s">
        <v>222</v>
      </c>
      <c r="B762" t="s">
        <v>847</v>
      </c>
    </row>
    <row r="763" spans="1:2" x14ac:dyDescent="0.25">
      <c r="A763" t="s">
        <v>222</v>
      </c>
      <c r="B763" t="s">
        <v>848</v>
      </c>
    </row>
    <row r="764" spans="1:2" x14ac:dyDescent="0.25">
      <c r="A764" t="s">
        <v>223</v>
      </c>
      <c r="B764" t="s">
        <v>849</v>
      </c>
    </row>
    <row r="765" spans="1:2" x14ac:dyDescent="0.25">
      <c r="A765" t="s">
        <v>223</v>
      </c>
      <c r="B765" t="s">
        <v>850</v>
      </c>
    </row>
    <row r="766" spans="1:2" x14ac:dyDescent="0.25">
      <c r="A766" t="s">
        <v>223</v>
      </c>
      <c r="B766" t="s">
        <v>851</v>
      </c>
    </row>
    <row r="767" spans="1:2" x14ac:dyDescent="0.25">
      <c r="A767" t="s">
        <v>223</v>
      </c>
      <c r="B767" t="s">
        <v>852</v>
      </c>
    </row>
    <row r="768" spans="1:2" x14ac:dyDescent="0.25">
      <c r="A768" t="s">
        <v>223</v>
      </c>
      <c r="B768" t="s">
        <v>853</v>
      </c>
    </row>
    <row r="769" spans="1:2" x14ac:dyDescent="0.25">
      <c r="A769" t="s">
        <v>223</v>
      </c>
      <c r="B769" t="s">
        <v>854</v>
      </c>
    </row>
    <row r="770" spans="1:2" x14ac:dyDescent="0.25">
      <c r="A770" t="s">
        <v>223</v>
      </c>
      <c r="B770" t="s">
        <v>855</v>
      </c>
    </row>
    <row r="771" spans="1:2" x14ac:dyDescent="0.25">
      <c r="A771" t="s">
        <v>224</v>
      </c>
      <c r="B771" t="s">
        <v>856</v>
      </c>
    </row>
    <row r="772" spans="1:2" x14ac:dyDescent="0.25">
      <c r="A772" t="s">
        <v>225</v>
      </c>
      <c r="B772" t="s">
        <v>857</v>
      </c>
    </row>
    <row r="773" spans="1:2" x14ac:dyDescent="0.25">
      <c r="A773" t="s">
        <v>225</v>
      </c>
      <c r="B773" t="s">
        <v>858</v>
      </c>
    </row>
    <row r="774" spans="1:2" x14ac:dyDescent="0.25">
      <c r="A774" t="s">
        <v>225</v>
      </c>
      <c r="B774" t="s">
        <v>859</v>
      </c>
    </row>
    <row r="775" spans="1:2" x14ac:dyDescent="0.25">
      <c r="A775" t="s">
        <v>226</v>
      </c>
      <c r="B775" t="s">
        <v>860</v>
      </c>
    </row>
    <row r="776" spans="1:2" x14ac:dyDescent="0.25">
      <c r="A776" t="s">
        <v>226</v>
      </c>
      <c r="B776" t="s">
        <v>861</v>
      </c>
    </row>
    <row r="777" spans="1:2" x14ac:dyDescent="0.25">
      <c r="A777" t="s">
        <v>226</v>
      </c>
      <c r="B777" t="s">
        <v>862</v>
      </c>
    </row>
    <row r="778" spans="1:2" x14ac:dyDescent="0.25">
      <c r="A778" t="s">
        <v>226</v>
      </c>
      <c r="B778" t="s">
        <v>863</v>
      </c>
    </row>
    <row r="779" spans="1:2" x14ac:dyDescent="0.25">
      <c r="A779" t="s">
        <v>226</v>
      </c>
      <c r="B779" t="s">
        <v>864</v>
      </c>
    </row>
    <row r="780" spans="1:2" x14ac:dyDescent="0.25">
      <c r="A780" t="s">
        <v>227</v>
      </c>
      <c r="B780" t="s">
        <v>865</v>
      </c>
    </row>
    <row r="781" spans="1:2" x14ac:dyDescent="0.25">
      <c r="A781" t="s">
        <v>227</v>
      </c>
      <c r="B781" t="s">
        <v>866</v>
      </c>
    </row>
    <row r="782" spans="1:2" x14ac:dyDescent="0.25">
      <c r="A782" t="s">
        <v>227</v>
      </c>
      <c r="B782" t="s">
        <v>867</v>
      </c>
    </row>
    <row r="783" spans="1:2" x14ac:dyDescent="0.25">
      <c r="A783" t="s">
        <v>227</v>
      </c>
      <c r="B783" t="s">
        <v>868</v>
      </c>
    </row>
    <row r="784" spans="1:2" x14ac:dyDescent="0.25">
      <c r="A784" t="s">
        <v>227</v>
      </c>
      <c r="B784" t="s">
        <v>869</v>
      </c>
    </row>
    <row r="785" spans="1:2" x14ac:dyDescent="0.25">
      <c r="A785" t="s">
        <v>228</v>
      </c>
      <c r="B785" t="s">
        <v>870</v>
      </c>
    </row>
    <row r="786" spans="1:2" x14ac:dyDescent="0.25">
      <c r="A786" t="s">
        <v>228</v>
      </c>
      <c r="B786" t="s">
        <v>871</v>
      </c>
    </row>
    <row r="787" spans="1:2" x14ac:dyDescent="0.25">
      <c r="A787" t="s">
        <v>228</v>
      </c>
      <c r="B787" t="s">
        <v>872</v>
      </c>
    </row>
    <row r="788" spans="1:2" x14ac:dyDescent="0.25">
      <c r="A788" t="s">
        <v>228</v>
      </c>
      <c r="B788" t="s">
        <v>873</v>
      </c>
    </row>
    <row r="789" spans="1:2" x14ac:dyDescent="0.25">
      <c r="A789" t="s">
        <v>228</v>
      </c>
      <c r="B789" t="s">
        <v>874</v>
      </c>
    </row>
    <row r="790" spans="1:2" x14ac:dyDescent="0.25">
      <c r="A790" t="s">
        <v>228</v>
      </c>
      <c r="B790" t="s">
        <v>875</v>
      </c>
    </row>
    <row r="791" spans="1:2" x14ac:dyDescent="0.25">
      <c r="A791" t="s">
        <v>228</v>
      </c>
      <c r="B791" t="s">
        <v>876</v>
      </c>
    </row>
    <row r="792" spans="1:2" x14ac:dyDescent="0.25">
      <c r="A792" t="s">
        <v>228</v>
      </c>
      <c r="B792" t="s">
        <v>877</v>
      </c>
    </row>
    <row r="793" spans="1:2" x14ac:dyDescent="0.25">
      <c r="A793" t="s">
        <v>228</v>
      </c>
      <c r="B793" t="s">
        <v>878</v>
      </c>
    </row>
    <row r="794" spans="1:2" x14ac:dyDescent="0.25">
      <c r="A794" t="s">
        <v>229</v>
      </c>
      <c r="B794" t="s">
        <v>879</v>
      </c>
    </row>
    <row r="795" spans="1:2" x14ac:dyDescent="0.25">
      <c r="A795" t="s">
        <v>229</v>
      </c>
      <c r="B795" t="s">
        <v>880</v>
      </c>
    </row>
    <row r="796" spans="1:2" x14ac:dyDescent="0.25">
      <c r="A796" t="s">
        <v>229</v>
      </c>
      <c r="B796" t="s">
        <v>881</v>
      </c>
    </row>
    <row r="797" spans="1:2" x14ac:dyDescent="0.25">
      <c r="A797" t="s">
        <v>230</v>
      </c>
      <c r="B797" t="s">
        <v>882</v>
      </c>
    </row>
    <row r="798" spans="1:2" x14ac:dyDescent="0.25">
      <c r="A798" t="s">
        <v>230</v>
      </c>
      <c r="B798" t="s">
        <v>883</v>
      </c>
    </row>
    <row r="799" spans="1:2" x14ac:dyDescent="0.25">
      <c r="A799" t="s">
        <v>231</v>
      </c>
      <c r="B799" t="s">
        <v>884</v>
      </c>
    </row>
    <row r="800" spans="1:2" x14ac:dyDescent="0.25">
      <c r="A800" t="s">
        <v>232</v>
      </c>
      <c r="B800" t="s">
        <v>885</v>
      </c>
    </row>
    <row r="801" spans="1:2" x14ac:dyDescent="0.25">
      <c r="A801" t="s">
        <v>233</v>
      </c>
      <c r="B801" t="s">
        <v>886</v>
      </c>
    </row>
    <row r="802" spans="1:2" x14ac:dyDescent="0.25">
      <c r="A802" t="s">
        <v>233</v>
      </c>
      <c r="B802" t="s">
        <v>887</v>
      </c>
    </row>
    <row r="803" spans="1:2" x14ac:dyDescent="0.25">
      <c r="A803" t="s">
        <v>233</v>
      </c>
      <c r="B803" t="s">
        <v>888</v>
      </c>
    </row>
    <row r="804" spans="1:2" x14ac:dyDescent="0.25">
      <c r="A804" t="s">
        <v>234</v>
      </c>
      <c r="B804" t="s">
        <v>889</v>
      </c>
    </row>
    <row r="805" spans="1:2" x14ac:dyDescent="0.25">
      <c r="A805" t="s">
        <v>234</v>
      </c>
      <c r="B805" t="s">
        <v>890</v>
      </c>
    </row>
    <row r="806" spans="1:2" x14ac:dyDescent="0.25">
      <c r="A806" t="s">
        <v>235</v>
      </c>
      <c r="B806" t="s">
        <v>891</v>
      </c>
    </row>
    <row r="807" spans="1:2" x14ac:dyDescent="0.25">
      <c r="A807" t="s">
        <v>236</v>
      </c>
      <c r="B807" t="s">
        <v>892</v>
      </c>
    </row>
    <row r="808" spans="1:2" x14ac:dyDescent="0.25">
      <c r="A808" t="s">
        <v>237</v>
      </c>
      <c r="B808" t="s">
        <v>893</v>
      </c>
    </row>
    <row r="809" spans="1:2" x14ac:dyDescent="0.25">
      <c r="A809" t="s">
        <v>238</v>
      </c>
      <c r="B809" t="s">
        <v>894</v>
      </c>
    </row>
    <row r="810" spans="1:2" x14ac:dyDescent="0.25">
      <c r="A810" t="s">
        <v>239</v>
      </c>
      <c r="B810" t="s">
        <v>895</v>
      </c>
    </row>
    <row r="811" spans="1:2" x14ac:dyDescent="0.25">
      <c r="A811" t="s">
        <v>240</v>
      </c>
      <c r="B811" t="s">
        <v>896</v>
      </c>
    </row>
    <row r="812" spans="1:2" x14ac:dyDescent="0.25">
      <c r="A812" t="s">
        <v>241</v>
      </c>
      <c r="B812" t="s">
        <v>897</v>
      </c>
    </row>
    <row r="813" spans="1:2" x14ac:dyDescent="0.25">
      <c r="A813" t="s">
        <v>241</v>
      </c>
      <c r="B813" t="s">
        <v>898</v>
      </c>
    </row>
    <row r="814" spans="1:2" x14ac:dyDescent="0.25">
      <c r="A814" t="s">
        <v>242</v>
      </c>
      <c r="B814" t="s">
        <v>899</v>
      </c>
    </row>
    <row r="815" spans="1:2" x14ac:dyDescent="0.25">
      <c r="A815" t="s">
        <v>243</v>
      </c>
      <c r="B815" t="s">
        <v>900</v>
      </c>
    </row>
    <row r="816" spans="1:2" x14ac:dyDescent="0.25">
      <c r="A816" t="s">
        <v>243</v>
      </c>
      <c r="B816" t="s">
        <v>901</v>
      </c>
    </row>
    <row r="817" spans="1:2" x14ac:dyDescent="0.25">
      <c r="A817" t="s">
        <v>243</v>
      </c>
      <c r="B817" t="s">
        <v>902</v>
      </c>
    </row>
    <row r="818" spans="1:2" x14ac:dyDescent="0.25">
      <c r="A818" t="s">
        <v>243</v>
      </c>
      <c r="B818" t="s">
        <v>903</v>
      </c>
    </row>
    <row r="819" spans="1:2" x14ac:dyDescent="0.25">
      <c r="A819" t="s">
        <v>243</v>
      </c>
      <c r="B819" t="s">
        <v>904</v>
      </c>
    </row>
    <row r="820" spans="1:2" x14ac:dyDescent="0.25">
      <c r="A820" t="s">
        <v>244</v>
      </c>
      <c r="B820" t="s">
        <v>905</v>
      </c>
    </row>
    <row r="821" spans="1:2" x14ac:dyDescent="0.25">
      <c r="A821" t="s">
        <v>245</v>
      </c>
      <c r="B821" t="s">
        <v>906</v>
      </c>
    </row>
    <row r="822" spans="1:2" x14ac:dyDescent="0.25">
      <c r="A822" t="s">
        <v>246</v>
      </c>
      <c r="B822" t="s">
        <v>907</v>
      </c>
    </row>
    <row r="823" spans="1:2" x14ac:dyDescent="0.25">
      <c r="A823" t="s">
        <v>247</v>
      </c>
      <c r="B823" t="s">
        <v>908</v>
      </c>
    </row>
    <row r="824" spans="1:2" x14ac:dyDescent="0.25">
      <c r="A824" t="s">
        <v>248</v>
      </c>
      <c r="B824" t="s">
        <v>909</v>
      </c>
    </row>
    <row r="825" spans="1:2" x14ac:dyDescent="0.25">
      <c r="A825" t="s">
        <v>249</v>
      </c>
      <c r="B825" t="s">
        <v>910</v>
      </c>
    </row>
    <row r="826" spans="1:2" x14ac:dyDescent="0.25">
      <c r="A826" t="s">
        <v>250</v>
      </c>
      <c r="B826" t="s">
        <v>911</v>
      </c>
    </row>
    <row r="827" spans="1:2" x14ac:dyDescent="0.25">
      <c r="A827" t="s">
        <v>251</v>
      </c>
      <c r="B827" t="s">
        <v>912</v>
      </c>
    </row>
    <row r="828" spans="1:2" x14ac:dyDescent="0.25">
      <c r="A828" t="s">
        <v>251</v>
      </c>
      <c r="B828" t="s">
        <v>913</v>
      </c>
    </row>
    <row r="829" spans="1:2" x14ac:dyDescent="0.25">
      <c r="A829" t="s">
        <v>252</v>
      </c>
      <c r="B829" t="s">
        <v>914</v>
      </c>
    </row>
    <row r="830" spans="1:2" x14ac:dyDescent="0.25">
      <c r="A830" t="s">
        <v>253</v>
      </c>
      <c r="B830" t="s">
        <v>915</v>
      </c>
    </row>
    <row r="831" spans="1:2" x14ac:dyDescent="0.25">
      <c r="A831" t="s">
        <v>253</v>
      </c>
      <c r="B831" t="s">
        <v>916</v>
      </c>
    </row>
    <row r="832" spans="1:2" x14ac:dyDescent="0.25">
      <c r="A832" t="s">
        <v>253</v>
      </c>
      <c r="B832" t="s">
        <v>917</v>
      </c>
    </row>
    <row r="833" spans="1:2" x14ac:dyDescent="0.25">
      <c r="A833" t="s">
        <v>253</v>
      </c>
      <c r="B833" t="s">
        <v>918</v>
      </c>
    </row>
    <row r="834" spans="1:2" x14ac:dyDescent="0.25">
      <c r="A834" t="s">
        <v>253</v>
      </c>
      <c r="B834" t="s">
        <v>919</v>
      </c>
    </row>
    <row r="835" spans="1:2" x14ac:dyDescent="0.25">
      <c r="A835" t="s">
        <v>254</v>
      </c>
      <c r="B835" t="s">
        <v>920</v>
      </c>
    </row>
    <row r="836" spans="1:2" x14ac:dyDescent="0.25">
      <c r="A836" t="s">
        <v>254</v>
      </c>
      <c r="B836" t="s">
        <v>921</v>
      </c>
    </row>
    <row r="837" spans="1:2" x14ac:dyDescent="0.25">
      <c r="A837" t="s">
        <v>255</v>
      </c>
      <c r="B837" t="s">
        <v>922</v>
      </c>
    </row>
    <row r="838" spans="1:2" x14ac:dyDescent="0.25">
      <c r="A838" t="s">
        <v>255</v>
      </c>
      <c r="B838" t="s">
        <v>923</v>
      </c>
    </row>
    <row r="839" spans="1:2" x14ac:dyDescent="0.25">
      <c r="A839" t="s">
        <v>255</v>
      </c>
      <c r="B839" t="s">
        <v>924</v>
      </c>
    </row>
    <row r="840" spans="1:2" x14ac:dyDescent="0.25">
      <c r="A840" t="s">
        <v>255</v>
      </c>
      <c r="B840" t="s">
        <v>925</v>
      </c>
    </row>
    <row r="841" spans="1:2" x14ac:dyDescent="0.25">
      <c r="A841" t="s">
        <v>256</v>
      </c>
      <c r="B841" t="s">
        <v>926</v>
      </c>
    </row>
    <row r="842" spans="1:2" x14ac:dyDescent="0.25">
      <c r="A842" t="s">
        <v>257</v>
      </c>
      <c r="B842" t="s">
        <v>927</v>
      </c>
    </row>
    <row r="843" spans="1:2" x14ac:dyDescent="0.25">
      <c r="A843" t="s">
        <v>258</v>
      </c>
      <c r="B843" t="s">
        <v>928</v>
      </c>
    </row>
    <row r="844" spans="1:2" x14ac:dyDescent="0.25">
      <c r="A844" t="s">
        <v>259</v>
      </c>
      <c r="B844" t="s">
        <v>929</v>
      </c>
    </row>
    <row r="845" spans="1:2" x14ac:dyDescent="0.25">
      <c r="A845" t="s">
        <v>260</v>
      </c>
      <c r="B845" t="s">
        <v>930</v>
      </c>
    </row>
    <row r="846" spans="1:2" x14ac:dyDescent="0.25">
      <c r="A846" t="s">
        <v>261</v>
      </c>
      <c r="B846" t="s">
        <v>931</v>
      </c>
    </row>
    <row r="847" spans="1:2" x14ac:dyDescent="0.25">
      <c r="A847" t="s">
        <v>262</v>
      </c>
      <c r="B847" t="s">
        <v>932</v>
      </c>
    </row>
    <row r="848" spans="1:2" x14ac:dyDescent="0.25">
      <c r="A848" t="s">
        <v>263</v>
      </c>
      <c r="B848" t="s">
        <v>933</v>
      </c>
    </row>
    <row r="849" spans="1:2" x14ac:dyDescent="0.25">
      <c r="A849" t="s">
        <v>263</v>
      </c>
      <c r="B849" t="s">
        <v>934</v>
      </c>
    </row>
    <row r="850" spans="1:2" x14ac:dyDescent="0.25">
      <c r="A850" t="s">
        <v>263</v>
      </c>
      <c r="B850" t="s">
        <v>935</v>
      </c>
    </row>
    <row r="851" spans="1:2" x14ac:dyDescent="0.25">
      <c r="A851" t="s">
        <v>263</v>
      </c>
      <c r="B851" t="s">
        <v>936</v>
      </c>
    </row>
    <row r="852" spans="1:2" x14ac:dyDescent="0.25">
      <c r="A852" t="s">
        <v>264</v>
      </c>
      <c r="B852" t="s">
        <v>937</v>
      </c>
    </row>
    <row r="853" spans="1:2" x14ac:dyDescent="0.25">
      <c r="A853" t="s">
        <v>264</v>
      </c>
      <c r="B853" t="s">
        <v>938</v>
      </c>
    </row>
    <row r="854" spans="1:2" x14ac:dyDescent="0.25">
      <c r="A854" t="s">
        <v>265</v>
      </c>
      <c r="B854" t="s">
        <v>939</v>
      </c>
    </row>
    <row r="855" spans="1:2" x14ac:dyDescent="0.25">
      <c r="A855" t="s">
        <v>265</v>
      </c>
      <c r="B855" t="s">
        <v>940</v>
      </c>
    </row>
    <row r="856" spans="1:2" x14ac:dyDescent="0.25">
      <c r="A856" t="s">
        <v>266</v>
      </c>
      <c r="B856" t="s">
        <v>941</v>
      </c>
    </row>
    <row r="857" spans="1:2" x14ac:dyDescent="0.25">
      <c r="A857" t="s">
        <v>266</v>
      </c>
      <c r="B857" t="s">
        <v>942</v>
      </c>
    </row>
    <row r="858" spans="1:2" x14ac:dyDescent="0.25">
      <c r="A858" t="s">
        <v>267</v>
      </c>
      <c r="B858" t="s">
        <v>943</v>
      </c>
    </row>
    <row r="859" spans="1:2" x14ac:dyDescent="0.25">
      <c r="A859" t="s">
        <v>268</v>
      </c>
      <c r="B859" t="s">
        <v>944</v>
      </c>
    </row>
    <row r="860" spans="1:2" x14ac:dyDescent="0.25">
      <c r="A860" t="s">
        <v>269</v>
      </c>
      <c r="B860" t="s">
        <v>945</v>
      </c>
    </row>
    <row r="861" spans="1:2" x14ac:dyDescent="0.25">
      <c r="A861" t="s">
        <v>269</v>
      </c>
      <c r="B861" t="s">
        <v>946</v>
      </c>
    </row>
    <row r="862" spans="1:2" x14ac:dyDescent="0.25">
      <c r="A862" t="s">
        <v>269</v>
      </c>
      <c r="B862" t="s">
        <v>947</v>
      </c>
    </row>
    <row r="863" spans="1:2" x14ac:dyDescent="0.25">
      <c r="A863" t="s">
        <v>270</v>
      </c>
      <c r="B863" t="s">
        <v>948</v>
      </c>
    </row>
    <row r="864" spans="1:2" x14ac:dyDescent="0.25">
      <c r="A864" t="s">
        <v>270</v>
      </c>
      <c r="B864" t="s">
        <v>949</v>
      </c>
    </row>
    <row r="865" spans="1:2" x14ac:dyDescent="0.25">
      <c r="A865" t="s">
        <v>271</v>
      </c>
      <c r="B865" t="s">
        <v>950</v>
      </c>
    </row>
    <row r="866" spans="1:2" x14ac:dyDescent="0.25">
      <c r="A866" t="s">
        <v>272</v>
      </c>
      <c r="B866" t="s">
        <v>951</v>
      </c>
    </row>
    <row r="867" spans="1:2" x14ac:dyDescent="0.25">
      <c r="A867" t="s">
        <v>273</v>
      </c>
      <c r="B867" t="s">
        <v>952</v>
      </c>
    </row>
    <row r="868" spans="1:2" x14ac:dyDescent="0.25">
      <c r="A868" t="s">
        <v>273</v>
      </c>
      <c r="B868" t="s">
        <v>953</v>
      </c>
    </row>
    <row r="869" spans="1:2" x14ac:dyDescent="0.25">
      <c r="A869" t="s">
        <v>273</v>
      </c>
      <c r="B869" t="s">
        <v>954</v>
      </c>
    </row>
    <row r="870" spans="1:2" x14ac:dyDescent="0.25">
      <c r="A870" t="s">
        <v>274</v>
      </c>
      <c r="B870" t="s">
        <v>955</v>
      </c>
    </row>
    <row r="871" spans="1:2" x14ac:dyDescent="0.25">
      <c r="A871" t="s">
        <v>274</v>
      </c>
      <c r="B871" t="s">
        <v>956</v>
      </c>
    </row>
    <row r="872" spans="1:2" x14ac:dyDescent="0.25">
      <c r="A872" t="s">
        <v>274</v>
      </c>
      <c r="B872" t="s">
        <v>957</v>
      </c>
    </row>
    <row r="873" spans="1:2" x14ac:dyDescent="0.25">
      <c r="A873" t="s">
        <v>275</v>
      </c>
      <c r="B873" t="s">
        <v>958</v>
      </c>
    </row>
    <row r="874" spans="1:2" x14ac:dyDescent="0.25">
      <c r="A874" t="s">
        <v>276</v>
      </c>
      <c r="B874" t="s">
        <v>959</v>
      </c>
    </row>
    <row r="875" spans="1:2" x14ac:dyDescent="0.25">
      <c r="A875" t="s">
        <v>277</v>
      </c>
      <c r="B875" t="s">
        <v>960</v>
      </c>
    </row>
    <row r="876" spans="1:2" x14ac:dyDescent="0.25">
      <c r="A876" t="s">
        <v>278</v>
      </c>
      <c r="B876" t="s">
        <v>961</v>
      </c>
    </row>
    <row r="877" spans="1:2" x14ac:dyDescent="0.25">
      <c r="A877" t="s">
        <v>278</v>
      </c>
      <c r="B877" t="s">
        <v>962</v>
      </c>
    </row>
    <row r="878" spans="1:2" x14ac:dyDescent="0.25">
      <c r="A878" t="s">
        <v>279</v>
      </c>
      <c r="B878" t="s">
        <v>963</v>
      </c>
    </row>
    <row r="879" spans="1:2" x14ac:dyDescent="0.25">
      <c r="A879" t="s">
        <v>280</v>
      </c>
      <c r="B879" t="s">
        <v>964</v>
      </c>
    </row>
    <row r="880" spans="1:2" x14ac:dyDescent="0.25">
      <c r="A880" t="s">
        <v>281</v>
      </c>
      <c r="B880" t="s">
        <v>965</v>
      </c>
    </row>
    <row r="881" spans="1:2" x14ac:dyDescent="0.25">
      <c r="A881" t="s">
        <v>282</v>
      </c>
      <c r="B881" t="s">
        <v>966</v>
      </c>
    </row>
    <row r="882" spans="1:2" x14ac:dyDescent="0.25">
      <c r="A882" t="s">
        <v>282</v>
      </c>
      <c r="B882" t="s">
        <v>967</v>
      </c>
    </row>
    <row r="883" spans="1:2" x14ac:dyDescent="0.25">
      <c r="A883" t="s">
        <v>283</v>
      </c>
      <c r="B883" t="s">
        <v>968</v>
      </c>
    </row>
    <row r="884" spans="1:2" x14ac:dyDescent="0.25">
      <c r="A884" t="s">
        <v>283</v>
      </c>
      <c r="B884" t="s">
        <v>969</v>
      </c>
    </row>
    <row r="885" spans="1:2" x14ac:dyDescent="0.25">
      <c r="A885" t="s">
        <v>284</v>
      </c>
      <c r="B885" t="s">
        <v>970</v>
      </c>
    </row>
    <row r="886" spans="1:2" x14ac:dyDescent="0.25">
      <c r="A886" t="s">
        <v>285</v>
      </c>
      <c r="B886" t="s">
        <v>971</v>
      </c>
    </row>
    <row r="887" spans="1:2" x14ac:dyDescent="0.25">
      <c r="A887" t="s">
        <v>285</v>
      </c>
      <c r="B887" t="s">
        <v>972</v>
      </c>
    </row>
    <row r="888" spans="1:2" x14ac:dyDescent="0.25">
      <c r="A888" t="s">
        <v>286</v>
      </c>
      <c r="B888" t="s">
        <v>973</v>
      </c>
    </row>
    <row r="889" spans="1:2" x14ac:dyDescent="0.25">
      <c r="A889" t="s">
        <v>287</v>
      </c>
      <c r="B889" t="s">
        <v>974</v>
      </c>
    </row>
    <row r="890" spans="1:2" x14ac:dyDescent="0.25">
      <c r="A890" t="s">
        <v>287</v>
      </c>
      <c r="B890" t="s">
        <v>975</v>
      </c>
    </row>
    <row r="891" spans="1:2" x14ac:dyDescent="0.25">
      <c r="A891" t="s">
        <v>288</v>
      </c>
      <c r="B891" t="s">
        <v>976</v>
      </c>
    </row>
    <row r="892" spans="1:2" x14ac:dyDescent="0.25">
      <c r="A892" t="s">
        <v>289</v>
      </c>
      <c r="B892" t="s">
        <v>977</v>
      </c>
    </row>
    <row r="893" spans="1:2" x14ac:dyDescent="0.25">
      <c r="A893" t="s">
        <v>290</v>
      </c>
      <c r="B893" t="s">
        <v>978</v>
      </c>
    </row>
    <row r="894" spans="1:2" x14ac:dyDescent="0.25">
      <c r="A894" t="s">
        <v>291</v>
      </c>
      <c r="B894" t="s">
        <v>979</v>
      </c>
    </row>
    <row r="895" spans="1:2" x14ac:dyDescent="0.25">
      <c r="A895" t="s">
        <v>292</v>
      </c>
      <c r="B895" t="s">
        <v>980</v>
      </c>
    </row>
    <row r="896" spans="1:2" x14ac:dyDescent="0.25">
      <c r="A896" t="s">
        <v>293</v>
      </c>
      <c r="B896" t="s">
        <v>981</v>
      </c>
    </row>
    <row r="897" spans="1:2" x14ac:dyDescent="0.25">
      <c r="A897" t="s">
        <v>294</v>
      </c>
      <c r="B897" t="s">
        <v>982</v>
      </c>
    </row>
    <row r="898" spans="1:2" x14ac:dyDescent="0.25">
      <c r="A898" t="s">
        <v>294</v>
      </c>
      <c r="B898" t="s">
        <v>983</v>
      </c>
    </row>
    <row r="899" spans="1:2" x14ac:dyDescent="0.25">
      <c r="A899" t="s">
        <v>295</v>
      </c>
      <c r="B899" t="s">
        <v>984</v>
      </c>
    </row>
    <row r="900" spans="1:2" x14ac:dyDescent="0.25">
      <c r="A900" t="s">
        <v>295</v>
      </c>
      <c r="B900" t="s">
        <v>985</v>
      </c>
    </row>
    <row r="901" spans="1:2" x14ac:dyDescent="0.25">
      <c r="A901" t="s">
        <v>295</v>
      </c>
      <c r="B901" t="s">
        <v>986</v>
      </c>
    </row>
    <row r="902" spans="1:2" x14ac:dyDescent="0.25">
      <c r="A902" t="s">
        <v>296</v>
      </c>
      <c r="B902" t="s">
        <v>987</v>
      </c>
    </row>
    <row r="903" spans="1:2" x14ac:dyDescent="0.25">
      <c r="A903" t="s">
        <v>296</v>
      </c>
      <c r="B903" t="s">
        <v>988</v>
      </c>
    </row>
    <row r="904" spans="1:2" x14ac:dyDescent="0.25">
      <c r="A904" t="s">
        <v>296</v>
      </c>
      <c r="B904" t="s">
        <v>989</v>
      </c>
    </row>
    <row r="905" spans="1:2" x14ac:dyDescent="0.25">
      <c r="A905" t="s">
        <v>296</v>
      </c>
      <c r="B905" t="s">
        <v>990</v>
      </c>
    </row>
    <row r="906" spans="1:2" x14ac:dyDescent="0.25">
      <c r="A906" t="s">
        <v>296</v>
      </c>
      <c r="B906" t="s">
        <v>991</v>
      </c>
    </row>
    <row r="907" spans="1:2" x14ac:dyDescent="0.25">
      <c r="A907" t="s">
        <v>296</v>
      </c>
      <c r="B907" t="s">
        <v>992</v>
      </c>
    </row>
    <row r="908" spans="1:2" x14ac:dyDescent="0.25">
      <c r="A908" t="s">
        <v>297</v>
      </c>
      <c r="B908" t="s">
        <v>993</v>
      </c>
    </row>
    <row r="909" spans="1:2" x14ac:dyDescent="0.25">
      <c r="A909" t="s">
        <v>298</v>
      </c>
      <c r="B909" t="s">
        <v>994</v>
      </c>
    </row>
    <row r="910" spans="1:2" x14ac:dyDescent="0.25">
      <c r="A910" t="s">
        <v>299</v>
      </c>
      <c r="B910" t="s">
        <v>995</v>
      </c>
    </row>
    <row r="911" spans="1:2" x14ac:dyDescent="0.25">
      <c r="A911" t="s">
        <v>300</v>
      </c>
      <c r="B911" t="s">
        <v>996</v>
      </c>
    </row>
    <row r="912" spans="1:2" x14ac:dyDescent="0.25">
      <c r="A912" t="s">
        <v>301</v>
      </c>
      <c r="B912" t="s">
        <v>302</v>
      </c>
    </row>
    <row r="913" spans="1:2" x14ac:dyDescent="0.25">
      <c r="A913" t="s">
        <v>301</v>
      </c>
      <c r="B913" t="s">
        <v>303</v>
      </c>
    </row>
    <row r="914" spans="1:2" x14ac:dyDescent="0.25">
      <c r="A914" t="s">
        <v>304</v>
      </c>
      <c r="B914" t="s">
        <v>997</v>
      </c>
    </row>
    <row r="915" spans="1:2" x14ac:dyDescent="0.25">
      <c r="A915" t="s">
        <v>305</v>
      </c>
      <c r="B915" t="s">
        <v>998</v>
      </c>
    </row>
    <row r="916" spans="1:2" x14ac:dyDescent="0.25">
      <c r="A916" t="s">
        <v>306</v>
      </c>
      <c r="B916" t="s">
        <v>999</v>
      </c>
    </row>
    <row r="917" spans="1:2" x14ac:dyDescent="0.25">
      <c r="A917" t="s">
        <v>307</v>
      </c>
      <c r="B917" t="s">
        <v>1000</v>
      </c>
    </row>
    <row r="918" spans="1:2" x14ac:dyDescent="0.25">
      <c r="A918" t="s">
        <v>308</v>
      </c>
      <c r="B918" t="s">
        <v>1001</v>
      </c>
    </row>
    <row r="919" spans="1:2" x14ac:dyDescent="0.25">
      <c r="A919" t="s">
        <v>309</v>
      </c>
      <c r="B919" t="s">
        <v>1002</v>
      </c>
    </row>
    <row r="920" spans="1:2" x14ac:dyDescent="0.25">
      <c r="A920" t="s">
        <v>309</v>
      </c>
      <c r="B920" t="s">
        <v>1003</v>
      </c>
    </row>
    <row r="921" spans="1:2" x14ac:dyDescent="0.25">
      <c r="A921" t="s">
        <v>309</v>
      </c>
      <c r="B921" t="s">
        <v>1004</v>
      </c>
    </row>
    <row r="922" spans="1:2" x14ac:dyDescent="0.25">
      <c r="A922" t="s">
        <v>310</v>
      </c>
      <c r="B922" t="s">
        <v>1005</v>
      </c>
    </row>
    <row r="923" spans="1:2" x14ac:dyDescent="0.25">
      <c r="A923" t="s">
        <v>311</v>
      </c>
      <c r="B923" t="s">
        <v>1006</v>
      </c>
    </row>
    <row r="924" spans="1:2" x14ac:dyDescent="0.25">
      <c r="A924" t="s">
        <v>311</v>
      </c>
      <c r="B924" t="s">
        <v>1007</v>
      </c>
    </row>
    <row r="925" spans="1:2" x14ac:dyDescent="0.25">
      <c r="A925" t="s">
        <v>312</v>
      </c>
      <c r="B925" t="s">
        <v>1008</v>
      </c>
    </row>
    <row r="926" spans="1:2" x14ac:dyDescent="0.25">
      <c r="A926" t="s">
        <v>313</v>
      </c>
      <c r="B926" t="s">
        <v>1009</v>
      </c>
    </row>
    <row r="927" spans="1:2" x14ac:dyDescent="0.25">
      <c r="A927" t="s">
        <v>314</v>
      </c>
      <c r="B927" t="s">
        <v>1010</v>
      </c>
    </row>
    <row r="928" spans="1:2" x14ac:dyDescent="0.25">
      <c r="A928" t="s">
        <v>314</v>
      </c>
      <c r="B928" t="s">
        <v>1011</v>
      </c>
    </row>
    <row r="929" spans="1:2" x14ac:dyDescent="0.25">
      <c r="A929" t="s">
        <v>314</v>
      </c>
      <c r="B929" t="s">
        <v>1012</v>
      </c>
    </row>
    <row r="930" spans="1:2" x14ac:dyDescent="0.25">
      <c r="A930" t="s">
        <v>315</v>
      </c>
      <c r="B930" t="s">
        <v>1013</v>
      </c>
    </row>
    <row r="931" spans="1:2" x14ac:dyDescent="0.25">
      <c r="A931" t="s">
        <v>315</v>
      </c>
      <c r="B931" t="s">
        <v>1014</v>
      </c>
    </row>
    <row r="932" spans="1:2" x14ac:dyDescent="0.25">
      <c r="A932" t="s">
        <v>315</v>
      </c>
      <c r="B932" t="s">
        <v>1015</v>
      </c>
    </row>
    <row r="933" spans="1:2" x14ac:dyDescent="0.25">
      <c r="A933" t="s">
        <v>316</v>
      </c>
      <c r="B933" t="s">
        <v>1016</v>
      </c>
    </row>
    <row r="934" spans="1:2" x14ac:dyDescent="0.25">
      <c r="A934" t="s">
        <v>316</v>
      </c>
      <c r="B934" t="s">
        <v>1017</v>
      </c>
    </row>
    <row r="935" spans="1:2" x14ac:dyDescent="0.25">
      <c r="A935" t="s">
        <v>316</v>
      </c>
      <c r="B935" t="s">
        <v>1018</v>
      </c>
    </row>
    <row r="936" spans="1:2" x14ac:dyDescent="0.25">
      <c r="A936" t="s">
        <v>316</v>
      </c>
      <c r="B936" t="s">
        <v>1019</v>
      </c>
    </row>
    <row r="937" spans="1:2" x14ac:dyDescent="0.25">
      <c r="A937" t="s">
        <v>316</v>
      </c>
      <c r="B937" t="s">
        <v>1020</v>
      </c>
    </row>
    <row r="938" spans="1:2" x14ac:dyDescent="0.25">
      <c r="A938" t="s">
        <v>317</v>
      </c>
      <c r="B938" t="s">
        <v>1021</v>
      </c>
    </row>
    <row r="939" spans="1:2" x14ac:dyDescent="0.25">
      <c r="A939" t="s">
        <v>318</v>
      </c>
      <c r="B939" t="s">
        <v>1022</v>
      </c>
    </row>
    <row r="940" spans="1:2" x14ac:dyDescent="0.25">
      <c r="A940" t="s">
        <v>319</v>
      </c>
      <c r="B940" t="s">
        <v>1023</v>
      </c>
    </row>
    <row r="941" spans="1:2" x14ac:dyDescent="0.25">
      <c r="A941" t="s">
        <v>320</v>
      </c>
      <c r="B941" t="s">
        <v>1024</v>
      </c>
    </row>
    <row r="942" spans="1:2" x14ac:dyDescent="0.25">
      <c r="A942" t="s">
        <v>320</v>
      </c>
      <c r="B942" t="s">
        <v>1025</v>
      </c>
    </row>
    <row r="943" spans="1:2" x14ac:dyDescent="0.25">
      <c r="A943" t="s">
        <v>321</v>
      </c>
      <c r="B943" t="s">
        <v>1026</v>
      </c>
    </row>
    <row r="944" spans="1:2" x14ac:dyDescent="0.25">
      <c r="A944" t="s">
        <v>321</v>
      </c>
      <c r="B944" t="s">
        <v>1027</v>
      </c>
    </row>
    <row r="945" spans="1:2" x14ac:dyDescent="0.25">
      <c r="A945" t="s">
        <v>322</v>
      </c>
      <c r="B945" t="s">
        <v>1028</v>
      </c>
    </row>
    <row r="946" spans="1:2" x14ac:dyDescent="0.25">
      <c r="A946" t="s">
        <v>322</v>
      </c>
      <c r="B946" t="s">
        <v>1029</v>
      </c>
    </row>
    <row r="947" spans="1:2" x14ac:dyDescent="0.25">
      <c r="A947" t="s">
        <v>322</v>
      </c>
      <c r="B947" t="s">
        <v>1030</v>
      </c>
    </row>
    <row r="948" spans="1:2" x14ac:dyDescent="0.25">
      <c r="A948" t="s">
        <v>322</v>
      </c>
      <c r="B948" t="s">
        <v>1031</v>
      </c>
    </row>
    <row r="949" spans="1:2" x14ac:dyDescent="0.25">
      <c r="A949" t="s">
        <v>323</v>
      </c>
      <c r="B949" t="s">
        <v>1032</v>
      </c>
    </row>
    <row r="950" spans="1:2" x14ac:dyDescent="0.25">
      <c r="A950" t="s">
        <v>324</v>
      </c>
      <c r="B950" t="s">
        <v>1033</v>
      </c>
    </row>
    <row r="951" spans="1:2" x14ac:dyDescent="0.25">
      <c r="A951" t="s">
        <v>325</v>
      </c>
      <c r="B951" t="s">
        <v>1034</v>
      </c>
    </row>
    <row r="952" spans="1:2" x14ac:dyDescent="0.25">
      <c r="A952" t="s">
        <v>325</v>
      </c>
      <c r="B952" t="s">
        <v>1035</v>
      </c>
    </row>
    <row r="953" spans="1:2" x14ac:dyDescent="0.25">
      <c r="A953" t="s">
        <v>325</v>
      </c>
      <c r="B953" t="s">
        <v>1036</v>
      </c>
    </row>
    <row r="954" spans="1:2" x14ac:dyDescent="0.25">
      <c r="A954" t="s">
        <v>326</v>
      </c>
      <c r="B954" t="s">
        <v>1037</v>
      </c>
    </row>
    <row r="955" spans="1:2" x14ac:dyDescent="0.25">
      <c r="A955" t="s">
        <v>327</v>
      </c>
      <c r="B955" t="s">
        <v>1038</v>
      </c>
    </row>
    <row r="956" spans="1:2" x14ac:dyDescent="0.25">
      <c r="A956" t="s">
        <v>328</v>
      </c>
      <c r="B956" t="s">
        <v>1039</v>
      </c>
    </row>
    <row r="957" spans="1:2" x14ac:dyDescent="0.25">
      <c r="A957" t="s">
        <v>329</v>
      </c>
      <c r="B957" t="s">
        <v>1040</v>
      </c>
    </row>
    <row r="958" spans="1:2" x14ac:dyDescent="0.25">
      <c r="A958" t="s">
        <v>330</v>
      </c>
      <c r="B958" t="s">
        <v>1041</v>
      </c>
    </row>
    <row r="959" spans="1:2" x14ac:dyDescent="0.25">
      <c r="A959" t="s">
        <v>331</v>
      </c>
      <c r="B959" t="s">
        <v>1042</v>
      </c>
    </row>
    <row r="960" spans="1:2" x14ac:dyDescent="0.25">
      <c r="A960" t="s">
        <v>332</v>
      </c>
      <c r="B960" t="s">
        <v>1043</v>
      </c>
    </row>
    <row r="961" spans="1:2" x14ac:dyDescent="0.25">
      <c r="A961" t="s">
        <v>332</v>
      </c>
      <c r="B961" t="s">
        <v>1044</v>
      </c>
    </row>
    <row r="962" spans="1:2" x14ac:dyDescent="0.25">
      <c r="A962" t="s">
        <v>333</v>
      </c>
      <c r="B962" t="s">
        <v>334</v>
      </c>
    </row>
    <row r="963" spans="1:2" x14ac:dyDescent="0.25">
      <c r="A963" t="s">
        <v>333</v>
      </c>
      <c r="B963" t="s">
        <v>335</v>
      </c>
    </row>
    <row r="964" spans="1:2" x14ac:dyDescent="0.25">
      <c r="A964" t="s">
        <v>333</v>
      </c>
      <c r="B964" t="s">
        <v>336</v>
      </c>
    </row>
    <row r="965" spans="1:2" x14ac:dyDescent="0.25">
      <c r="A965" t="s">
        <v>333</v>
      </c>
      <c r="B965" t="s">
        <v>337</v>
      </c>
    </row>
    <row r="966" spans="1:2" x14ac:dyDescent="0.25">
      <c r="A966" t="s">
        <v>338</v>
      </c>
      <c r="B966" t="s">
        <v>339</v>
      </c>
    </row>
    <row r="967" spans="1:2" x14ac:dyDescent="0.25">
      <c r="A967" t="s">
        <v>338</v>
      </c>
      <c r="B967" t="s">
        <v>340</v>
      </c>
    </row>
    <row r="968" spans="1:2" x14ac:dyDescent="0.25">
      <c r="A968" t="s">
        <v>338</v>
      </c>
      <c r="B968" t="s">
        <v>341</v>
      </c>
    </row>
    <row r="969" spans="1:2" x14ac:dyDescent="0.25">
      <c r="A969" t="s">
        <v>338</v>
      </c>
      <c r="B969" t="s">
        <v>342</v>
      </c>
    </row>
    <row r="970" spans="1:2" x14ac:dyDescent="0.25">
      <c r="A970" t="s">
        <v>343</v>
      </c>
      <c r="B970" t="s">
        <v>1045</v>
      </c>
    </row>
    <row r="971" spans="1:2" x14ac:dyDescent="0.25">
      <c r="A971" t="s">
        <v>346</v>
      </c>
      <c r="B971" t="s">
        <v>347</v>
      </c>
    </row>
    <row r="972" spans="1:2" x14ac:dyDescent="0.25">
      <c r="A972" t="s">
        <v>346</v>
      </c>
      <c r="B972" t="s">
        <v>348</v>
      </c>
    </row>
    <row r="973" spans="1:2" x14ac:dyDescent="0.25">
      <c r="A973" t="s">
        <v>346</v>
      </c>
      <c r="B973" t="s">
        <v>349</v>
      </c>
    </row>
    <row r="974" spans="1:2" x14ac:dyDescent="0.25">
      <c r="A974" t="s">
        <v>346</v>
      </c>
      <c r="B974" t="s">
        <v>350</v>
      </c>
    </row>
    <row r="975" spans="1:2" x14ac:dyDescent="0.25">
      <c r="A975" t="s">
        <v>351</v>
      </c>
      <c r="B975" t="s">
        <v>352</v>
      </c>
    </row>
    <row r="976" spans="1:2" x14ac:dyDescent="0.25">
      <c r="A976" t="s">
        <v>351</v>
      </c>
      <c r="B976" t="s">
        <v>353</v>
      </c>
    </row>
    <row r="977" spans="1:2" x14ac:dyDescent="0.25">
      <c r="A977" t="s">
        <v>354</v>
      </c>
      <c r="B977" t="s">
        <v>1046</v>
      </c>
    </row>
    <row r="978" spans="1:2" x14ac:dyDescent="0.25">
      <c r="A978" t="s">
        <v>354</v>
      </c>
      <c r="B978" t="s">
        <v>1047</v>
      </c>
    </row>
    <row r="979" spans="1:2" x14ac:dyDescent="0.25">
      <c r="A979" t="s">
        <v>355</v>
      </c>
      <c r="B979" t="s">
        <v>1048</v>
      </c>
    </row>
    <row r="980" spans="1:2" x14ac:dyDescent="0.25">
      <c r="A980" t="s">
        <v>356</v>
      </c>
      <c r="B980" t="s">
        <v>1049</v>
      </c>
    </row>
    <row r="981" spans="1:2" x14ac:dyDescent="0.25">
      <c r="A981" t="s">
        <v>356</v>
      </c>
      <c r="B981" t="s">
        <v>1050</v>
      </c>
    </row>
    <row r="982" spans="1:2" x14ac:dyDescent="0.25">
      <c r="A982" t="s">
        <v>356</v>
      </c>
      <c r="B982" t="s">
        <v>1051</v>
      </c>
    </row>
    <row r="983" spans="1:2" x14ac:dyDescent="0.25">
      <c r="A983" t="s">
        <v>357</v>
      </c>
      <c r="B983" t="s">
        <v>1052</v>
      </c>
    </row>
    <row r="984" spans="1:2" x14ac:dyDescent="0.25">
      <c r="A984" t="s">
        <v>357</v>
      </c>
      <c r="B984" t="s">
        <v>1053</v>
      </c>
    </row>
    <row r="985" spans="1:2" x14ac:dyDescent="0.25">
      <c r="A985" t="s">
        <v>358</v>
      </c>
      <c r="B985" t="s">
        <v>1054</v>
      </c>
    </row>
    <row r="986" spans="1:2" x14ac:dyDescent="0.25">
      <c r="A986" t="s">
        <v>358</v>
      </c>
      <c r="B986" t="s">
        <v>1055</v>
      </c>
    </row>
    <row r="987" spans="1:2" x14ac:dyDescent="0.25">
      <c r="A987" t="s">
        <v>358</v>
      </c>
      <c r="B987" t="s">
        <v>1056</v>
      </c>
    </row>
    <row r="988" spans="1:2" x14ac:dyDescent="0.25">
      <c r="A988" t="s">
        <v>358</v>
      </c>
      <c r="B988" t="s">
        <v>1057</v>
      </c>
    </row>
    <row r="989" spans="1:2" x14ac:dyDescent="0.25">
      <c r="A989" t="s">
        <v>358</v>
      </c>
      <c r="B989" t="s">
        <v>1058</v>
      </c>
    </row>
    <row r="990" spans="1:2" x14ac:dyDescent="0.25">
      <c r="A990" t="s">
        <v>358</v>
      </c>
      <c r="B990" t="s">
        <v>1059</v>
      </c>
    </row>
    <row r="991" spans="1:2" x14ac:dyDescent="0.25">
      <c r="A991" t="s">
        <v>359</v>
      </c>
      <c r="B991" t="s">
        <v>1060</v>
      </c>
    </row>
    <row r="992" spans="1:2" x14ac:dyDescent="0.25">
      <c r="A992" t="s">
        <v>359</v>
      </c>
      <c r="B992" t="s">
        <v>1061</v>
      </c>
    </row>
    <row r="993" spans="1:8" x14ac:dyDescent="0.25">
      <c r="A993" t="s">
        <v>359</v>
      </c>
      <c r="B993" t="s">
        <v>1062</v>
      </c>
    </row>
    <row r="994" spans="1:8" x14ac:dyDescent="0.25">
      <c r="A994" t="s">
        <v>359</v>
      </c>
      <c r="B994" t="s">
        <v>362</v>
      </c>
    </row>
    <row r="995" spans="1:8" x14ac:dyDescent="0.25">
      <c r="A995" t="s">
        <v>359</v>
      </c>
      <c r="B995" t="s">
        <v>363</v>
      </c>
    </row>
    <row r="997" spans="1:8" x14ac:dyDescent="0.25">
      <c r="A997" s="33" t="s">
        <v>65</v>
      </c>
      <c r="B997" s="33" t="str">
        <f>IF(Stammdaten!I15="","",Stammdaten!I15)</f>
        <v/>
      </c>
    </row>
    <row r="999" spans="1:8" x14ac:dyDescent="0.25">
      <c r="A999" t="s">
        <v>470</v>
      </c>
      <c r="B999" t="s">
        <v>1064</v>
      </c>
      <c r="D999" s="42" t="str">
        <f>IF($B$997="","",_xlfn.AGGREGATE(15,6,ROW($A$999:$B$1833)/(FIND($B$997,$A$999:$B$1833,1)&gt;0),ROW()-998))</f>
        <v/>
      </c>
      <c r="E999" t="str">
        <f>IFERROR(INDEX($A$999:$B$1833,D999-998,2),"")</f>
        <v/>
      </c>
      <c r="G999" t="str">
        <f t="shared" ref="G999:G1062" si="8">MID(B999,1,7)</f>
        <v>01.11.0</v>
      </c>
      <c r="H999" t="str">
        <f>B999</f>
        <v>01.11.0 - Anbau von Getreide (ohne Reis), Hülsenfrüchten und Ölsaaten</v>
      </c>
    </row>
    <row r="1000" spans="1:8" x14ac:dyDescent="0.25">
      <c r="A1000" t="s">
        <v>471</v>
      </c>
      <c r="B1000" t="s">
        <v>1065</v>
      </c>
      <c r="D1000" s="42" t="str">
        <f>IF($B$997="","",_xlfn.AGGREGATE(15,6,ROW($A$999:$B$1833)/(FIND($B$997,$A$999:$B$1833,1)&gt;0),ROW()-998))</f>
        <v/>
      </c>
      <c r="E1000" t="str">
        <f t="shared" ref="E1000:E1006" si="9">IFERROR(INDEX($A$999:$B$1833,D1000-998,2),"")</f>
        <v/>
      </c>
      <c r="G1000" t="str">
        <f t="shared" si="8"/>
        <v>01.12.0</v>
      </c>
      <c r="H1000" t="str">
        <f t="shared" ref="H1000:H1063" si="10">B1000</f>
        <v>01.12.0 - Anbau von Reis</v>
      </c>
    </row>
    <row r="1001" spans="1:8" x14ac:dyDescent="0.25">
      <c r="A1001" t="s">
        <v>472</v>
      </c>
      <c r="B1001" t="s">
        <v>1066</v>
      </c>
      <c r="D1001" s="42" t="str">
        <f t="shared" ref="D1001:D1006" si="11">IF($B$997="","",_xlfn.AGGREGATE(15,6,ROW($A$999:$B$1833)/(FIND($B$997,$A$999:$B$1833,1)&gt;0),ROW()-998))</f>
        <v/>
      </c>
      <c r="E1001" t="str">
        <f t="shared" si="9"/>
        <v/>
      </c>
      <c r="G1001" t="str">
        <f t="shared" si="8"/>
        <v>01.13.1</v>
      </c>
      <c r="H1001" t="str">
        <f t="shared" si="10"/>
        <v>01.13.1 - Anbau von Gemüse und Melonen</v>
      </c>
    </row>
    <row r="1002" spans="1:8" x14ac:dyDescent="0.25">
      <c r="A1002" t="s">
        <v>472</v>
      </c>
      <c r="B1002" t="s">
        <v>1067</v>
      </c>
      <c r="D1002" s="42" t="str">
        <f t="shared" si="11"/>
        <v/>
      </c>
      <c r="E1002" t="str">
        <f t="shared" si="9"/>
        <v/>
      </c>
      <c r="G1002" t="str">
        <f t="shared" si="8"/>
        <v>01.13.2</v>
      </c>
      <c r="H1002" t="str">
        <f t="shared" si="10"/>
        <v>01.13.2 - Anbau von Kartoffeln sowie sonstigen Wurzeln und Knollen</v>
      </c>
    </row>
    <row r="1003" spans="1:8" x14ac:dyDescent="0.25">
      <c r="A1003" t="s">
        <v>473</v>
      </c>
      <c r="B1003" t="s">
        <v>1068</v>
      </c>
      <c r="D1003" s="42" t="str">
        <f t="shared" si="11"/>
        <v/>
      </c>
      <c r="E1003" t="str">
        <f t="shared" si="9"/>
        <v/>
      </c>
      <c r="G1003" t="str">
        <f t="shared" si="8"/>
        <v>01.14.0</v>
      </c>
      <c r="H1003" t="str">
        <f t="shared" si="10"/>
        <v>01.14.0 - Anbau von Zuckerrohr</v>
      </c>
    </row>
    <row r="1004" spans="1:8" x14ac:dyDescent="0.25">
      <c r="A1004" t="s">
        <v>474</v>
      </c>
      <c r="B1004" t="s">
        <v>1069</v>
      </c>
      <c r="D1004" s="42" t="str">
        <f t="shared" si="11"/>
        <v/>
      </c>
      <c r="E1004" t="str">
        <f t="shared" si="9"/>
        <v/>
      </c>
      <c r="G1004" t="str">
        <f t="shared" si="8"/>
        <v>01.15.0</v>
      </c>
      <c r="H1004" t="str">
        <f t="shared" si="10"/>
        <v>01.15.0 - Anbau von Tabak</v>
      </c>
    </row>
    <row r="1005" spans="1:8" x14ac:dyDescent="0.25">
      <c r="A1005" t="s">
        <v>475</v>
      </c>
      <c r="B1005" t="s">
        <v>1070</v>
      </c>
      <c r="D1005" s="42" t="str">
        <f t="shared" si="11"/>
        <v/>
      </c>
      <c r="E1005" t="str">
        <f t="shared" si="9"/>
        <v/>
      </c>
      <c r="G1005" t="str">
        <f t="shared" si="8"/>
        <v>01.16.0</v>
      </c>
      <c r="H1005" t="str">
        <f t="shared" si="10"/>
        <v>01.16.0 - Anbau von Faserpflanzen</v>
      </c>
    </row>
    <row r="1006" spans="1:8" x14ac:dyDescent="0.25">
      <c r="A1006" t="s">
        <v>476</v>
      </c>
      <c r="B1006" t="s">
        <v>1071</v>
      </c>
      <c r="D1006" s="42" t="str">
        <f t="shared" si="11"/>
        <v/>
      </c>
      <c r="E1006" t="str">
        <f t="shared" si="9"/>
        <v/>
      </c>
      <c r="G1006" t="str">
        <f t="shared" si="8"/>
        <v>01.19.1</v>
      </c>
      <c r="H1006" t="str">
        <f t="shared" si="10"/>
        <v>01.19.1 - Anbau von Zierpflanzen zum Schnitt</v>
      </c>
    </row>
    <row r="1007" spans="1:8" x14ac:dyDescent="0.25">
      <c r="A1007" t="s">
        <v>476</v>
      </c>
      <c r="B1007" t="s">
        <v>1072</v>
      </c>
      <c r="G1007" t="str">
        <f t="shared" si="8"/>
        <v>01.19.2</v>
      </c>
      <c r="H1007" t="str">
        <f t="shared" si="10"/>
        <v>01.19.2 - Erzeugung von Blumensamen</v>
      </c>
    </row>
    <row r="1008" spans="1:8" x14ac:dyDescent="0.25">
      <c r="A1008" t="s">
        <v>476</v>
      </c>
      <c r="B1008" t="s">
        <v>1073</v>
      </c>
      <c r="G1008" t="str">
        <f t="shared" si="8"/>
        <v>01.19.9</v>
      </c>
      <c r="H1008" t="str">
        <f t="shared" si="10"/>
        <v>01.19.9 - Anbau von sonstigen einjährigen Pflanzen a. n. g.</v>
      </c>
    </row>
    <row r="1009" spans="1:8" x14ac:dyDescent="0.25">
      <c r="A1009" t="s">
        <v>477</v>
      </c>
      <c r="B1009" t="s">
        <v>1074</v>
      </c>
      <c r="G1009" t="str">
        <f t="shared" si="8"/>
        <v>01.21.0</v>
      </c>
      <c r="H1009" t="str">
        <f t="shared" si="10"/>
        <v>01.21.0 - Anbau von Wein- und Tafeltrauben</v>
      </c>
    </row>
    <row r="1010" spans="1:8" x14ac:dyDescent="0.25">
      <c r="A1010" t="s">
        <v>478</v>
      </c>
      <c r="B1010" t="s">
        <v>1075</v>
      </c>
      <c r="G1010" t="str">
        <f t="shared" si="8"/>
        <v>01.22.0</v>
      </c>
      <c r="H1010" t="str">
        <f t="shared" si="10"/>
        <v>01.22.0 - Anbau von tropischen und subtropischen Früchten</v>
      </c>
    </row>
    <row r="1011" spans="1:8" x14ac:dyDescent="0.25">
      <c r="A1011" t="s">
        <v>479</v>
      </c>
      <c r="B1011" t="s">
        <v>1076</v>
      </c>
      <c r="G1011" t="str">
        <f t="shared" si="8"/>
        <v>01.23.0</v>
      </c>
      <c r="H1011" t="str">
        <f t="shared" si="10"/>
        <v>01.23.0 - Anbau von Zitrusfrüchten</v>
      </c>
    </row>
    <row r="1012" spans="1:8" x14ac:dyDescent="0.25">
      <c r="A1012" t="s">
        <v>480</v>
      </c>
      <c r="B1012" t="s">
        <v>1077</v>
      </c>
      <c r="G1012" t="str">
        <f t="shared" si="8"/>
        <v>01.24.0</v>
      </c>
      <c r="H1012" t="str">
        <f t="shared" si="10"/>
        <v>01.24.0 - Anbau von Kern- und Steinobst</v>
      </c>
    </row>
    <row r="1013" spans="1:8" x14ac:dyDescent="0.25">
      <c r="A1013" t="s">
        <v>481</v>
      </c>
      <c r="B1013" t="s">
        <v>1078</v>
      </c>
      <c r="G1013" t="str">
        <f t="shared" si="8"/>
        <v>01.25.1</v>
      </c>
      <c r="H1013" t="str">
        <f t="shared" si="10"/>
        <v>01.25.1 - Anbau von Erdbeeren</v>
      </c>
    </row>
    <row r="1014" spans="1:8" x14ac:dyDescent="0.25">
      <c r="A1014" t="s">
        <v>481</v>
      </c>
      <c r="B1014" t="s">
        <v>1079</v>
      </c>
      <c r="G1014" t="str">
        <f t="shared" si="8"/>
        <v>01.25.9</v>
      </c>
      <c r="H1014" t="str">
        <f t="shared" si="10"/>
        <v>01.25.9 - Anbau von sonstigem Obst (ohne Erdbeeren) und Nüssen</v>
      </c>
    </row>
    <row r="1015" spans="1:8" x14ac:dyDescent="0.25">
      <c r="A1015" t="s">
        <v>482</v>
      </c>
      <c r="B1015" t="s">
        <v>1080</v>
      </c>
      <c r="G1015" t="str">
        <f t="shared" si="8"/>
        <v>01.26.0</v>
      </c>
      <c r="H1015" t="str">
        <f t="shared" si="10"/>
        <v>01.26.0 - Anbau von ölhaltigen Früchten</v>
      </c>
    </row>
    <row r="1016" spans="1:8" x14ac:dyDescent="0.25">
      <c r="A1016" t="s">
        <v>483</v>
      </c>
      <c r="B1016" t="s">
        <v>1081</v>
      </c>
      <c r="G1016" t="str">
        <f t="shared" si="8"/>
        <v>01.27.0</v>
      </c>
      <c r="H1016" t="str">
        <f t="shared" si="10"/>
        <v>01.27.0 - Anbau von Pflanzen zur Herstellung von Getränken</v>
      </c>
    </row>
    <row r="1017" spans="1:8" x14ac:dyDescent="0.25">
      <c r="A1017" t="s">
        <v>484</v>
      </c>
      <c r="B1017" t="s">
        <v>1082</v>
      </c>
      <c r="G1017" t="str">
        <f t="shared" si="8"/>
        <v>01.28.0</v>
      </c>
      <c r="H1017" t="str">
        <f t="shared" si="10"/>
        <v>01.28.0 - Anbau von Gewürzpflanzen, Pflanzen für aromatische, narkotische und pharmazeutische Zwecke</v>
      </c>
    </row>
    <row r="1018" spans="1:8" x14ac:dyDescent="0.25">
      <c r="A1018" t="s">
        <v>485</v>
      </c>
      <c r="B1018" t="s">
        <v>1083</v>
      </c>
      <c r="G1018" t="str">
        <f t="shared" si="8"/>
        <v>01.29.0</v>
      </c>
      <c r="H1018" t="str">
        <f t="shared" si="10"/>
        <v>01.29.0 - Anbau sonstiger mehrjähriger Pflanzen</v>
      </c>
    </row>
    <row r="1019" spans="1:8" x14ac:dyDescent="0.25">
      <c r="A1019" t="s">
        <v>486</v>
      </c>
      <c r="B1019" t="s">
        <v>1084</v>
      </c>
      <c r="G1019" t="str">
        <f t="shared" si="8"/>
        <v>01.30.1</v>
      </c>
      <c r="H1019" t="str">
        <f t="shared" si="10"/>
        <v>01.30.1 - Anbau von Zimmerpflanzen, Beet- und Balkonpflanzen</v>
      </c>
    </row>
    <row r="1020" spans="1:8" x14ac:dyDescent="0.25">
      <c r="A1020" t="s">
        <v>486</v>
      </c>
      <c r="B1020" t="s">
        <v>1085</v>
      </c>
      <c r="G1020" t="str">
        <f t="shared" si="8"/>
        <v>01.30.2</v>
      </c>
      <c r="H1020" t="str">
        <f t="shared" si="10"/>
        <v>01.30.2 - Betrieb von Baumschulen</v>
      </c>
    </row>
    <row r="1021" spans="1:8" x14ac:dyDescent="0.25">
      <c r="A1021" t="s">
        <v>487</v>
      </c>
      <c r="B1021" t="s">
        <v>1086</v>
      </c>
      <c r="G1021" t="str">
        <f t="shared" si="8"/>
        <v>01.41.0</v>
      </c>
      <c r="H1021" t="str">
        <f t="shared" si="10"/>
        <v>01.41.0 - Haltung von Milchkühen</v>
      </c>
    </row>
    <row r="1022" spans="1:8" x14ac:dyDescent="0.25">
      <c r="A1022" t="s">
        <v>488</v>
      </c>
      <c r="B1022" t="s">
        <v>1087</v>
      </c>
      <c r="G1022" t="str">
        <f t="shared" si="8"/>
        <v>01.42.0</v>
      </c>
      <c r="H1022" t="str">
        <f t="shared" si="10"/>
        <v>01.42.0 - Haltung von anderen Rindern</v>
      </c>
    </row>
    <row r="1023" spans="1:8" x14ac:dyDescent="0.25">
      <c r="A1023" t="s">
        <v>489</v>
      </c>
      <c r="B1023" t="s">
        <v>1088</v>
      </c>
      <c r="G1023" t="str">
        <f t="shared" si="8"/>
        <v>01.43.0</v>
      </c>
      <c r="H1023" t="str">
        <f t="shared" si="10"/>
        <v>01.43.0 - Haltung von Pferden und Eseln</v>
      </c>
    </row>
    <row r="1024" spans="1:8" x14ac:dyDescent="0.25">
      <c r="A1024" t="s">
        <v>490</v>
      </c>
      <c r="B1024" t="s">
        <v>1089</v>
      </c>
      <c r="G1024" t="str">
        <f t="shared" si="8"/>
        <v>01.44.0</v>
      </c>
      <c r="H1024" t="str">
        <f t="shared" si="10"/>
        <v>01.44.0 - Haltung von Kamelen</v>
      </c>
    </row>
    <row r="1025" spans="1:8" x14ac:dyDescent="0.25">
      <c r="A1025" t="s">
        <v>491</v>
      </c>
      <c r="B1025" t="s">
        <v>1090</v>
      </c>
      <c r="G1025" t="str">
        <f t="shared" si="8"/>
        <v>01.45.0</v>
      </c>
      <c r="H1025" t="str">
        <f t="shared" si="10"/>
        <v>01.45.0 - Haltung von Schafen und Ziegen</v>
      </c>
    </row>
    <row r="1026" spans="1:8" x14ac:dyDescent="0.25">
      <c r="A1026" t="s">
        <v>492</v>
      </c>
      <c r="B1026" t="s">
        <v>1091</v>
      </c>
      <c r="G1026" t="str">
        <f t="shared" si="8"/>
        <v>01.46.0</v>
      </c>
      <c r="H1026" t="str">
        <f t="shared" si="10"/>
        <v>01.46.0 - Haltung von Schweinen</v>
      </c>
    </row>
    <row r="1027" spans="1:8" x14ac:dyDescent="0.25">
      <c r="A1027" t="s">
        <v>493</v>
      </c>
      <c r="B1027" t="s">
        <v>1092</v>
      </c>
      <c r="G1027" t="str">
        <f t="shared" si="8"/>
        <v>01.47.1</v>
      </c>
      <c r="H1027" t="str">
        <f t="shared" si="10"/>
        <v>01.47.1 - Haltung von Legehennen zur Konsumeiererzeugung</v>
      </c>
    </row>
    <row r="1028" spans="1:8" x14ac:dyDescent="0.25">
      <c r="A1028" t="s">
        <v>493</v>
      </c>
      <c r="B1028" t="s">
        <v>1093</v>
      </c>
      <c r="G1028" t="str">
        <f t="shared" si="8"/>
        <v>01.47.2</v>
      </c>
      <c r="H1028" t="str">
        <f t="shared" si="10"/>
        <v>01.47.2 - Betrieb von Brütereien</v>
      </c>
    </row>
    <row r="1029" spans="1:8" x14ac:dyDescent="0.25">
      <c r="A1029" t="s">
        <v>493</v>
      </c>
      <c r="B1029" t="s">
        <v>1094</v>
      </c>
      <c r="G1029" t="str">
        <f t="shared" si="8"/>
        <v>01.47.9</v>
      </c>
      <c r="H1029" t="str">
        <f t="shared" si="10"/>
        <v>01.47.9 - Sonstige Haltung von Nutzgeflügel</v>
      </c>
    </row>
    <row r="1030" spans="1:8" x14ac:dyDescent="0.25">
      <c r="A1030" t="s">
        <v>494</v>
      </c>
      <c r="B1030" t="s">
        <v>1095</v>
      </c>
      <c r="G1030" t="str">
        <f t="shared" si="8"/>
        <v>01.49.0</v>
      </c>
      <c r="H1030" t="str">
        <f t="shared" si="10"/>
        <v>01.49.0 - Sonstige Tierhaltung</v>
      </c>
    </row>
    <row r="1031" spans="1:8" x14ac:dyDescent="0.25">
      <c r="A1031" t="s">
        <v>495</v>
      </c>
      <c r="B1031" t="s">
        <v>1096</v>
      </c>
      <c r="G1031" t="str">
        <f t="shared" si="8"/>
        <v>01.50.0</v>
      </c>
      <c r="H1031" t="str">
        <f t="shared" si="10"/>
        <v>01.50.0 - Gemischte Landwirtschaft</v>
      </c>
    </row>
    <row r="1032" spans="1:8" x14ac:dyDescent="0.25">
      <c r="A1032" t="s">
        <v>496</v>
      </c>
      <c r="B1032" t="s">
        <v>1097</v>
      </c>
      <c r="G1032" t="str">
        <f t="shared" si="8"/>
        <v>01.61.0</v>
      </c>
      <c r="H1032" t="str">
        <f t="shared" si="10"/>
        <v>01.61.0 - Erbringung von landwirtschaftlichen Dienstleistungen für den Pflanzenbau</v>
      </c>
    </row>
    <row r="1033" spans="1:8" x14ac:dyDescent="0.25">
      <c r="A1033" t="s">
        <v>497</v>
      </c>
      <c r="B1033" t="s">
        <v>1098</v>
      </c>
      <c r="G1033" t="str">
        <f t="shared" si="8"/>
        <v>01.62.0</v>
      </c>
      <c r="H1033" t="str">
        <f t="shared" si="10"/>
        <v>01.62.0 - Erbringung von landwirtschaftlichen Dienstleistungen für die Tierhaltung</v>
      </c>
    </row>
    <row r="1034" spans="1:8" x14ac:dyDescent="0.25">
      <c r="A1034" t="s">
        <v>498</v>
      </c>
      <c r="B1034" t="s">
        <v>1099</v>
      </c>
      <c r="G1034" t="str">
        <f t="shared" si="8"/>
        <v>01.63.0</v>
      </c>
      <c r="H1034" t="str">
        <f t="shared" si="10"/>
        <v>01.63.0 - Nach der Ernte anfallende Tätigkeiten in der pflanzlichen Erzeugung</v>
      </c>
    </row>
    <row r="1035" spans="1:8" x14ac:dyDescent="0.25">
      <c r="A1035" t="s">
        <v>499</v>
      </c>
      <c r="B1035" t="s">
        <v>1100</v>
      </c>
      <c r="G1035" t="str">
        <f t="shared" si="8"/>
        <v>01.64.0</v>
      </c>
      <c r="H1035" t="str">
        <f t="shared" si="10"/>
        <v>01.64.0 - Saatgutaufbereitung</v>
      </c>
    </row>
    <row r="1036" spans="1:8" x14ac:dyDescent="0.25">
      <c r="A1036" t="s">
        <v>500</v>
      </c>
      <c r="B1036" t="s">
        <v>1101</v>
      </c>
      <c r="G1036" t="str">
        <f t="shared" si="8"/>
        <v>01.70.0</v>
      </c>
      <c r="H1036" t="str">
        <f t="shared" si="10"/>
        <v>01.70.0 - Jagd, Fallenstellerei und damit verbundene Tätigkeiten</v>
      </c>
    </row>
    <row r="1037" spans="1:8" x14ac:dyDescent="0.25">
      <c r="A1037" t="s">
        <v>501</v>
      </c>
      <c r="B1037" t="s">
        <v>1102</v>
      </c>
      <c r="G1037" t="str">
        <f t="shared" si="8"/>
        <v>02.10.0</v>
      </c>
      <c r="H1037" t="str">
        <f t="shared" si="10"/>
        <v>02.10.0 - Forstwirtschaft</v>
      </c>
    </row>
    <row r="1038" spans="1:8" x14ac:dyDescent="0.25">
      <c r="A1038" t="s">
        <v>502</v>
      </c>
      <c r="B1038" t="s">
        <v>1103</v>
      </c>
      <c r="G1038" t="str">
        <f t="shared" si="8"/>
        <v>02.20.0</v>
      </c>
      <c r="H1038" t="str">
        <f t="shared" si="10"/>
        <v>02.20.0 - Holzeinschlag</v>
      </c>
    </row>
    <row r="1039" spans="1:8" x14ac:dyDescent="0.25">
      <c r="A1039" t="s">
        <v>503</v>
      </c>
      <c r="B1039" t="s">
        <v>1104</v>
      </c>
      <c r="G1039" t="str">
        <f t="shared" si="8"/>
        <v>02.30.0</v>
      </c>
      <c r="H1039" t="str">
        <f t="shared" si="10"/>
        <v>02.30.0 - Sammeln von wild wachsenden Produkten (ohne Holz)</v>
      </c>
    </row>
    <row r="1040" spans="1:8" x14ac:dyDescent="0.25">
      <c r="A1040" t="s">
        <v>504</v>
      </c>
      <c r="B1040" t="s">
        <v>1105</v>
      </c>
      <c r="G1040" t="str">
        <f t="shared" si="8"/>
        <v>02.40.0</v>
      </c>
      <c r="H1040" t="str">
        <f t="shared" si="10"/>
        <v>02.40.0 - Erbringung von Dienstleistungen für Forstwirtschaft und Holzeinschlag</v>
      </c>
    </row>
    <row r="1041" spans="1:8" x14ac:dyDescent="0.25">
      <c r="A1041" t="s">
        <v>505</v>
      </c>
      <c r="B1041" t="s">
        <v>1106</v>
      </c>
      <c r="G1041" t="str">
        <f t="shared" si="8"/>
        <v>03.11.0</v>
      </c>
      <c r="H1041" t="str">
        <f t="shared" si="10"/>
        <v>03.11.0 - Meeresfischerei</v>
      </c>
    </row>
    <row r="1042" spans="1:8" x14ac:dyDescent="0.25">
      <c r="A1042" t="s">
        <v>506</v>
      </c>
      <c r="B1042" t="s">
        <v>1107</v>
      </c>
      <c r="G1042" t="str">
        <f t="shared" si="8"/>
        <v>03.12.0</v>
      </c>
      <c r="H1042" t="str">
        <f t="shared" si="10"/>
        <v>03.12.0 - Süßwasserfischerei</v>
      </c>
    </row>
    <row r="1043" spans="1:8" x14ac:dyDescent="0.25">
      <c r="A1043" t="s">
        <v>507</v>
      </c>
      <c r="B1043" t="s">
        <v>1108</v>
      </c>
      <c r="G1043" t="str">
        <f t="shared" si="8"/>
        <v>03.21.0</v>
      </c>
      <c r="H1043" t="str">
        <f t="shared" si="10"/>
        <v>03.21.0 - Meeresaquakultur</v>
      </c>
    </row>
    <row r="1044" spans="1:8" x14ac:dyDescent="0.25">
      <c r="A1044" t="s">
        <v>508</v>
      </c>
      <c r="B1044" t="s">
        <v>1109</v>
      </c>
      <c r="G1044" t="str">
        <f t="shared" si="8"/>
        <v>03.22.0</v>
      </c>
      <c r="H1044" t="str">
        <f t="shared" si="10"/>
        <v>03.22.0 - Süßwasseraquakultur</v>
      </c>
    </row>
    <row r="1045" spans="1:8" x14ac:dyDescent="0.25">
      <c r="A1045" t="s">
        <v>509</v>
      </c>
      <c r="B1045" t="s">
        <v>1110</v>
      </c>
      <c r="G1045" t="str">
        <f t="shared" si="8"/>
        <v>05.10.0</v>
      </c>
      <c r="H1045" t="str">
        <f t="shared" si="10"/>
        <v>05.10.0 - Steinkohlenbergbau</v>
      </c>
    </row>
    <row r="1046" spans="1:8" x14ac:dyDescent="0.25">
      <c r="A1046" t="s">
        <v>510</v>
      </c>
      <c r="B1046" t="s">
        <v>1111</v>
      </c>
      <c r="G1046" t="str">
        <f t="shared" si="8"/>
        <v>05.20.0</v>
      </c>
      <c r="H1046" t="str">
        <f t="shared" si="10"/>
        <v>05.20.0 - Braunkohlenbergbau</v>
      </c>
    </row>
    <row r="1047" spans="1:8" x14ac:dyDescent="0.25">
      <c r="A1047" t="s">
        <v>511</v>
      </c>
      <c r="B1047" t="s">
        <v>1112</v>
      </c>
      <c r="G1047" t="str">
        <f t="shared" si="8"/>
        <v>06.10.0</v>
      </c>
      <c r="H1047" t="str">
        <f t="shared" si="10"/>
        <v>06.10.0 - Gewinnung von Erdöl</v>
      </c>
    </row>
    <row r="1048" spans="1:8" x14ac:dyDescent="0.25">
      <c r="A1048" t="s">
        <v>512</v>
      </c>
      <c r="B1048" t="s">
        <v>1113</v>
      </c>
      <c r="G1048" t="str">
        <f t="shared" si="8"/>
        <v>06.20.0</v>
      </c>
      <c r="H1048" t="str">
        <f t="shared" si="10"/>
        <v>06.20.0 - Gewinnung von Erdgas</v>
      </c>
    </row>
    <row r="1049" spans="1:8" x14ac:dyDescent="0.25">
      <c r="A1049" t="s">
        <v>513</v>
      </c>
      <c r="B1049" t="s">
        <v>1114</v>
      </c>
      <c r="G1049" t="str">
        <f t="shared" si="8"/>
        <v>07.10.0</v>
      </c>
      <c r="H1049" t="str">
        <f t="shared" si="10"/>
        <v>07.10.0 - Eisenerzbergbau</v>
      </c>
    </row>
    <row r="1050" spans="1:8" x14ac:dyDescent="0.25">
      <c r="A1050" t="s">
        <v>514</v>
      </c>
      <c r="B1050" t="s">
        <v>1115</v>
      </c>
      <c r="G1050" t="str">
        <f t="shared" si="8"/>
        <v>07.21.0</v>
      </c>
      <c r="H1050" t="str">
        <f t="shared" si="10"/>
        <v>07.21.0 - Bergbau auf Uran- und Thoriumerze</v>
      </c>
    </row>
    <row r="1051" spans="1:8" x14ac:dyDescent="0.25">
      <c r="A1051" t="s">
        <v>515</v>
      </c>
      <c r="B1051" t="s">
        <v>1116</v>
      </c>
      <c r="G1051" t="str">
        <f t="shared" si="8"/>
        <v>07.29.0</v>
      </c>
      <c r="H1051" t="str">
        <f t="shared" si="10"/>
        <v>07.29.0 - Sonstiger NE-Metallerzbergbau</v>
      </c>
    </row>
    <row r="1052" spans="1:8" x14ac:dyDescent="0.25">
      <c r="A1052" t="s">
        <v>516</v>
      </c>
      <c r="B1052" t="s">
        <v>1117</v>
      </c>
      <c r="G1052" t="str">
        <f t="shared" si="8"/>
        <v>08.11.0</v>
      </c>
      <c r="H1052" t="str">
        <f t="shared" si="10"/>
        <v>08.11.0 - Gewinnung von Naturwerksteinen und Natursteinen, Kalk- und Gipsstein, Kreide und Schiefer</v>
      </c>
    </row>
    <row r="1053" spans="1:8" x14ac:dyDescent="0.25">
      <c r="A1053" t="s">
        <v>517</v>
      </c>
      <c r="B1053" t="s">
        <v>1118</v>
      </c>
      <c r="G1053" t="str">
        <f t="shared" si="8"/>
        <v>08.12.0</v>
      </c>
      <c r="H1053" t="str">
        <f t="shared" si="10"/>
        <v>08.12.0 - Gewinnung von Kies, Sand, Ton und Kaolin</v>
      </c>
    </row>
    <row r="1054" spans="1:8" x14ac:dyDescent="0.25">
      <c r="A1054" t="s">
        <v>518</v>
      </c>
      <c r="B1054" t="s">
        <v>1119</v>
      </c>
      <c r="G1054" t="str">
        <f t="shared" si="8"/>
        <v>08.91.0</v>
      </c>
      <c r="H1054" t="str">
        <f t="shared" si="10"/>
        <v>08.91.0 - Bergbau auf chemische und Düngemittelminerale</v>
      </c>
    </row>
    <row r="1055" spans="1:8" x14ac:dyDescent="0.25">
      <c r="A1055" t="s">
        <v>519</v>
      </c>
      <c r="B1055" t="s">
        <v>1120</v>
      </c>
      <c r="G1055" t="str">
        <f t="shared" si="8"/>
        <v>08.92.0</v>
      </c>
      <c r="H1055" t="str">
        <f t="shared" si="10"/>
        <v>08.92.0 - Torfgewinnung</v>
      </c>
    </row>
    <row r="1056" spans="1:8" x14ac:dyDescent="0.25">
      <c r="A1056" t="s">
        <v>520</v>
      </c>
      <c r="B1056" t="s">
        <v>1121</v>
      </c>
      <c r="G1056" t="str">
        <f t="shared" si="8"/>
        <v>08.93.0</v>
      </c>
      <c r="H1056" t="str">
        <f t="shared" si="10"/>
        <v>08.93.0 - Gewinnung von Salz</v>
      </c>
    </row>
    <row r="1057" spans="1:8" x14ac:dyDescent="0.25">
      <c r="A1057" t="s">
        <v>521</v>
      </c>
      <c r="B1057" t="s">
        <v>1122</v>
      </c>
      <c r="G1057" t="str">
        <f t="shared" si="8"/>
        <v>08.99.0</v>
      </c>
      <c r="H1057" t="str">
        <f t="shared" si="10"/>
        <v>08.99.0 - Gewinnung von Steinen und Erden a. n. g.</v>
      </c>
    </row>
    <row r="1058" spans="1:8" x14ac:dyDescent="0.25">
      <c r="A1058" t="s">
        <v>522</v>
      </c>
      <c r="B1058" t="s">
        <v>1123</v>
      </c>
      <c r="G1058" t="str">
        <f t="shared" si="8"/>
        <v>09.10.0</v>
      </c>
      <c r="H1058" t="str">
        <f t="shared" si="10"/>
        <v>09.10.0 - Erbringung von Dienstleistungen für die Gewinnung von Erdöl und Erdgas</v>
      </c>
    </row>
    <row r="1059" spans="1:8" x14ac:dyDescent="0.25">
      <c r="A1059" t="s">
        <v>523</v>
      </c>
      <c r="B1059" t="s">
        <v>1124</v>
      </c>
      <c r="G1059" t="str">
        <f t="shared" si="8"/>
        <v>09.90.0</v>
      </c>
      <c r="H1059" t="str">
        <f t="shared" si="10"/>
        <v>09.90.0 - Erbringung von Dienstleistungen für den sonstigen Bergbau und die Gewinnung von Steinen und Erden</v>
      </c>
    </row>
    <row r="1060" spans="1:8" x14ac:dyDescent="0.25">
      <c r="A1060" t="s">
        <v>524</v>
      </c>
      <c r="B1060" t="s">
        <v>1125</v>
      </c>
      <c r="G1060" t="str">
        <f t="shared" si="8"/>
        <v>10.11.0</v>
      </c>
      <c r="H1060" t="str">
        <f t="shared" si="10"/>
        <v>10.11.0 - Schlachten (ohne Schlachten von Geflügel)</v>
      </c>
    </row>
    <row r="1061" spans="1:8" x14ac:dyDescent="0.25">
      <c r="A1061" t="s">
        <v>525</v>
      </c>
      <c r="B1061" t="s">
        <v>1126</v>
      </c>
      <c r="G1061" t="str">
        <f t="shared" si="8"/>
        <v>10.12.0</v>
      </c>
      <c r="H1061" t="str">
        <f t="shared" si="10"/>
        <v>10.12.0 - Schlachten von Geflügel</v>
      </c>
    </row>
    <row r="1062" spans="1:8" x14ac:dyDescent="0.25">
      <c r="A1062" t="s">
        <v>526</v>
      </c>
      <c r="B1062" t="s">
        <v>1127</v>
      </c>
      <c r="G1062" t="str">
        <f t="shared" si="8"/>
        <v>10.13.0</v>
      </c>
      <c r="H1062" t="str">
        <f t="shared" si="10"/>
        <v>10.13.0 - Fleischverarbeitung</v>
      </c>
    </row>
    <row r="1063" spans="1:8" x14ac:dyDescent="0.25">
      <c r="A1063" t="s">
        <v>527</v>
      </c>
      <c r="B1063" t="s">
        <v>1128</v>
      </c>
      <c r="G1063" t="str">
        <f t="shared" ref="G1063:G1126" si="12">MID(B1063,1,7)</f>
        <v>10.20.0</v>
      </c>
      <c r="H1063" t="str">
        <f t="shared" si="10"/>
        <v>10.20.0 - Fischverarbeitung</v>
      </c>
    </row>
    <row r="1064" spans="1:8" x14ac:dyDescent="0.25">
      <c r="A1064" t="s">
        <v>528</v>
      </c>
      <c r="B1064" t="s">
        <v>1129</v>
      </c>
      <c r="G1064" t="str">
        <f t="shared" si="12"/>
        <v>10.31.0</v>
      </c>
      <c r="H1064" t="str">
        <f t="shared" ref="H1064:H1127" si="13">B1064</f>
        <v>10.31.0 - Kartoffelverarbeitung</v>
      </c>
    </row>
    <row r="1065" spans="1:8" x14ac:dyDescent="0.25">
      <c r="A1065" t="s">
        <v>529</v>
      </c>
      <c r="B1065" t="s">
        <v>1130</v>
      </c>
      <c r="G1065" t="str">
        <f t="shared" si="12"/>
        <v>10.32.0</v>
      </c>
      <c r="H1065" t="str">
        <f t="shared" si="13"/>
        <v>10.32.0 - Herstellung von Frucht- und Gemüsesäften</v>
      </c>
    </row>
    <row r="1066" spans="1:8" x14ac:dyDescent="0.25">
      <c r="A1066" t="s">
        <v>530</v>
      </c>
      <c r="B1066" t="s">
        <v>1131</v>
      </c>
      <c r="G1066" t="str">
        <f t="shared" si="12"/>
        <v>10.39.0</v>
      </c>
      <c r="H1066" t="str">
        <f t="shared" si="13"/>
        <v>10.39.0 - Sonstige Verarbeitung von Obst und Gemüse</v>
      </c>
    </row>
    <row r="1067" spans="1:8" x14ac:dyDescent="0.25">
      <c r="A1067" t="s">
        <v>531</v>
      </c>
      <c r="B1067" t="s">
        <v>1132</v>
      </c>
      <c r="G1067" t="str">
        <f t="shared" si="12"/>
        <v>10.41.0</v>
      </c>
      <c r="H1067" t="str">
        <f t="shared" si="13"/>
        <v>10.41.0 - Herstellung von Ölen und Fetten (ohne Margarine u. ä. Nahrungsfette)</v>
      </c>
    </row>
    <row r="1068" spans="1:8" x14ac:dyDescent="0.25">
      <c r="A1068" t="s">
        <v>532</v>
      </c>
      <c r="B1068" t="s">
        <v>1133</v>
      </c>
      <c r="G1068" t="str">
        <f t="shared" si="12"/>
        <v>10.42.0</v>
      </c>
      <c r="H1068" t="str">
        <f t="shared" si="13"/>
        <v>10.42.0 - Herstellung von Margarine u. ä. Nahrungsfetten</v>
      </c>
    </row>
    <row r="1069" spans="1:8" x14ac:dyDescent="0.25">
      <c r="A1069" t="s">
        <v>533</v>
      </c>
      <c r="B1069" t="s">
        <v>1134</v>
      </c>
      <c r="G1069" t="str">
        <f t="shared" si="12"/>
        <v>10.51.0</v>
      </c>
      <c r="H1069" t="str">
        <f t="shared" si="13"/>
        <v>10.51.0 - Milchverarbeitung (ohne Herstellung von Speiseeis)</v>
      </c>
    </row>
    <row r="1070" spans="1:8" x14ac:dyDescent="0.25">
      <c r="A1070" t="s">
        <v>534</v>
      </c>
      <c r="B1070" t="s">
        <v>1135</v>
      </c>
      <c r="G1070" t="str">
        <f t="shared" si="12"/>
        <v>10.52.0</v>
      </c>
      <c r="H1070" t="str">
        <f t="shared" si="13"/>
        <v>10.52.0 - Herstellung von Speiseeis</v>
      </c>
    </row>
    <row r="1071" spans="1:8" x14ac:dyDescent="0.25">
      <c r="A1071" t="s">
        <v>535</v>
      </c>
      <c r="B1071" t="s">
        <v>1136</v>
      </c>
      <c r="G1071" t="str">
        <f t="shared" si="12"/>
        <v>10.61.0</v>
      </c>
      <c r="H1071" t="str">
        <f t="shared" si="13"/>
        <v>10.61.0 - Mahl- und Schälmühlen</v>
      </c>
    </row>
    <row r="1072" spans="1:8" x14ac:dyDescent="0.25">
      <c r="A1072" t="s">
        <v>536</v>
      </c>
      <c r="B1072" t="s">
        <v>1137</v>
      </c>
      <c r="G1072" t="str">
        <f t="shared" si="12"/>
        <v>10.62.0</v>
      </c>
      <c r="H1072" t="str">
        <f t="shared" si="13"/>
        <v>10.62.0 - Herstellung von Stärke und Stärkeerzeugnissen</v>
      </c>
    </row>
    <row r="1073" spans="1:8" x14ac:dyDescent="0.25">
      <c r="A1073" t="s">
        <v>537</v>
      </c>
      <c r="B1073" t="s">
        <v>1138</v>
      </c>
      <c r="G1073" t="str">
        <f t="shared" si="12"/>
        <v>10.71.0</v>
      </c>
      <c r="H1073" t="str">
        <f t="shared" si="13"/>
        <v>10.71.0 - Herstellung von Backwaren (ohne Dauerbackwaren)</v>
      </c>
    </row>
    <row r="1074" spans="1:8" x14ac:dyDescent="0.25">
      <c r="A1074" t="s">
        <v>538</v>
      </c>
      <c r="B1074" t="s">
        <v>1139</v>
      </c>
      <c r="G1074" t="str">
        <f t="shared" si="12"/>
        <v>10.72.0</v>
      </c>
      <c r="H1074" t="str">
        <f t="shared" si="13"/>
        <v>10.72.0 - Herstellung von Dauerbackwaren</v>
      </c>
    </row>
    <row r="1075" spans="1:8" x14ac:dyDescent="0.25">
      <c r="A1075" t="s">
        <v>539</v>
      </c>
      <c r="B1075" t="s">
        <v>1140</v>
      </c>
      <c r="G1075" t="str">
        <f t="shared" si="12"/>
        <v>10.73.0</v>
      </c>
      <c r="H1075" t="str">
        <f t="shared" si="13"/>
        <v>10.73.0 - Herstellung von Teigwaren</v>
      </c>
    </row>
    <row r="1076" spans="1:8" x14ac:dyDescent="0.25">
      <c r="A1076" t="s">
        <v>540</v>
      </c>
      <c r="B1076" t="s">
        <v>1141</v>
      </c>
      <c r="G1076" t="str">
        <f t="shared" si="12"/>
        <v>10.81.0</v>
      </c>
      <c r="H1076" t="str">
        <f t="shared" si="13"/>
        <v>10.81.0 - Herstellung von Zucker</v>
      </c>
    </row>
    <row r="1077" spans="1:8" x14ac:dyDescent="0.25">
      <c r="A1077" t="s">
        <v>541</v>
      </c>
      <c r="B1077" t="s">
        <v>1142</v>
      </c>
      <c r="G1077" t="str">
        <f t="shared" si="12"/>
        <v>10.82.0</v>
      </c>
      <c r="H1077" t="str">
        <f t="shared" si="13"/>
        <v>10.82.0 - Herstellung von Süßwaren (ohne Dauerbackwaren)</v>
      </c>
    </row>
    <row r="1078" spans="1:8" x14ac:dyDescent="0.25">
      <c r="A1078" t="s">
        <v>542</v>
      </c>
      <c r="B1078" t="s">
        <v>1143</v>
      </c>
      <c r="G1078" t="str">
        <f t="shared" si="12"/>
        <v>10.83.0</v>
      </c>
      <c r="H1078" t="str">
        <f t="shared" si="13"/>
        <v>10.83.0 - Verarbeitung von Kaffee und Tee, Herstellung von Kaffee-Ersatz</v>
      </c>
    </row>
    <row r="1079" spans="1:8" x14ac:dyDescent="0.25">
      <c r="A1079" t="s">
        <v>543</v>
      </c>
      <c r="B1079" t="s">
        <v>1144</v>
      </c>
      <c r="G1079" t="str">
        <f t="shared" si="12"/>
        <v>10.84.0</v>
      </c>
      <c r="H1079" t="str">
        <f t="shared" si="13"/>
        <v>10.84.0 - Herstellung von Würzmitteln und Soßen</v>
      </c>
    </row>
    <row r="1080" spans="1:8" x14ac:dyDescent="0.25">
      <c r="A1080" t="s">
        <v>544</v>
      </c>
      <c r="B1080" t="s">
        <v>1145</v>
      </c>
      <c r="G1080" t="str">
        <f t="shared" si="12"/>
        <v>10.85.0</v>
      </c>
      <c r="H1080" t="str">
        <f t="shared" si="13"/>
        <v>10.85.0 - Herstellung von Fertiggerichten</v>
      </c>
    </row>
    <row r="1081" spans="1:8" x14ac:dyDescent="0.25">
      <c r="A1081" t="s">
        <v>545</v>
      </c>
      <c r="B1081" t="s">
        <v>1146</v>
      </c>
      <c r="G1081" t="str">
        <f t="shared" si="12"/>
        <v>10.86.0</v>
      </c>
      <c r="H1081" t="str">
        <f t="shared" si="13"/>
        <v>10.86.0 - Herstellung von homogenisierten und diätetischen Nahrungsmitteln</v>
      </c>
    </row>
    <row r="1082" spans="1:8" x14ac:dyDescent="0.25">
      <c r="A1082" t="s">
        <v>546</v>
      </c>
      <c r="B1082" t="s">
        <v>1147</v>
      </c>
      <c r="G1082" t="str">
        <f t="shared" si="12"/>
        <v>10.89.0</v>
      </c>
      <c r="H1082" t="str">
        <f t="shared" si="13"/>
        <v>10.89.0 - Herstellung von sonstigen Nahrungsmitteln a. n. g.</v>
      </c>
    </row>
    <row r="1083" spans="1:8" x14ac:dyDescent="0.25">
      <c r="A1083" t="s">
        <v>547</v>
      </c>
      <c r="B1083" t="s">
        <v>1148</v>
      </c>
      <c r="G1083" t="str">
        <f t="shared" si="12"/>
        <v>10.91.0</v>
      </c>
      <c r="H1083" t="str">
        <f t="shared" si="13"/>
        <v>10.91.0 - Herstellung von Futtermitteln für Nutztiere</v>
      </c>
    </row>
    <row r="1084" spans="1:8" x14ac:dyDescent="0.25">
      <c r="A1084" t="s">
        <v>548</v>
      </c>
      <c r="B1084" t="s">
        <v>1149</v>
      </c>
      <c r="G1084" t="str">
        <f t="shared" si="12"/>
        <v>10.92.0</v>
      </c>
      <c r="H1084" t="str">
        <f t="shared" si="13"/>
        <v>10.92.0 - Herstellung von Futtermitteln für sonstige Tiere</v>
      </c>
    </row>
    <row r="1085" spans="1:8" x14ac:dyDescent="0.25">
      <c r="A1085" t="s">
        <v>549</v>
      </c>
      <c r="B1085" t="s">
        <v>1150</v>
      </c>
      <c r="G1085" t="str">
        <f t="shared" si="12"/>
        <v>11.01.0</v>
      </c>
      <c r="H1085" t="str">
        <f t="shared" si="13"/>
        <v>11.01.0 - Herstellung von Spirituosen</v>
      </c>
    </row>
    <row r="1086" spans="1:8" x14ac:dyDescent="0.25">
      <c r="A1086" t="s">
        <v>550</v>
      </c>
      <c r="B1086" t="s">
        <v>1151</v>
      </c>
      <c r="G1086" t="str">
        <f t="shared" si="12"/>
        <v>11.02.0</v>
      </c>
      <c r="H1086" t="str">
        <f t="shared" si="13"/>
        <v>11.02.0 - Herstellung von Traubenwein</v>
      </c>
    </row>
    <row r="1087" spans="1:8" x14ac:dyDescent="0.25">
      <c r="A1087" t="s">
        <v>551</v>
      </c>
      <c r="B1087" t="s">
        <v>1152</v>
      </c>
      <c r="G1087" t="str">
        <f t="shared" si="12"/>
        <v>11.03.0</v>
      </c>
      <c r="H1087" t="str">
        <f t="shared" si="13"/>
        <v>11.03.0 - Herstellung von Apfelwein und anderen Fruchtweinen</v>
      </c>
    </row>
    <row r="1088" spans="1:8" x14ac:dyDescent="0.25">
      <c r="A1088" t="s">
        <v>552</v>
      </c>
      <c r="B1088" t="s">
        <v>1153</v>
      </c>
      <c r="G1088" t="str">
        <f t="shared" si="12"/>
        <v>11.04.0</v>
      </c>
      <c r="H1088" t="str">
        <f t="shared" si="13"/>
        <v>11.04.0 - Herstellung von Wermutwein und sonstigen aromatisierten Weinen</v>
      </c>
    </row>
    <row r="1089" spans="1:8" x14ac:dyDescent="0.25">
      <c r="A1089" t="s">
        <v>553</v>
      </c>
      <c r="B1089" t="s">
        <v>1154</v>
      </c>
      <c r="G1089" t="str">
        <f t="shared" si="12"/>
        <v>11.05.0</v>
      </c>
      <c r="H1089" t="str">
        <f t="shared" si="13"/>
        <v>11.05.0 - Herstellung von Bier</v>
      </c>
    </row>
    <row r="1090" spans="1:8" x14ac:dyDescent="0.25">
      <c r="A1090" t="s">
        <v>554</v>
      </c>
      <c r="B1090" t="s">
        <v>1155</v>
      </c>
      <c r="G1090" t="str">
        <f t="shared" si="12"/>
        <v>11.06.0</v>
      </c>
      <c r="H1090" t="str">
        <f t="shared" si="13"/>
        <v>11.06.0 - Herstellung von Malz</v>
      </c>
    </row>
    <row r="1091" spans="1:8" x14ac:dyDescent="0.25">
      <c r="A1091" t="s">
        <v>555</v>
      </c>
      <c r="B1091" t="s">
        <v>1156</v>
      </c>
      <c r="G1091" t="str">
        <f t="shared" si="12"/>
        <v>11.07.0</v>
      </c>
      <c r="H1091" t="str">
        <f t="shared" si="13"/>
        <v>11.07.0 - Herstellung von Erfrischungsgetränken; Gewinnung natürlicher Mineralwässer</v>
      </c>
    </row>
    <row r="1092" spans="1:8" x14ac:dyDescent="0.25">
      <c r="A1092" t="s">
        <v>556</v>
      </c>
      <c r="B1092" t="s">
        <v>1157</v>
      </c>
      <c r="G1092" t="str">
        <f t="shared" si="12"/>
        <v>12.00.0</v>
      </c>
      <c r="H1092" t="str">
        <f t="shared" si="13"/>
        <v>12.00.0 - Tabakverarbeitung</v>
      </c>
    </row>
    <row r="1093" spans="1:8" x14ac:dyDescent="0.25">
      <c r="A1093" t="s">
        <v>557</v>
      </c>
      <c r="B1093" t="s">
        <v>1158</v>
      </c>
      <c r="G1093" t="str">
        <f t="shared" si="12"/>
        <v>13.10.0</v>
      </c>
      <c r="H1093" t="str">
        <f t="shared" si="13"/>
        <v>13.10.0 - Spinnstoffaufbereitung und Spinnerei</v>
      </c>
    </row>
    <row r="1094" spans="1:8" x14ac:dyDescent="0.25">
      <c r="A1094" t="s">
        <v>558</v>
      </c>
      <c r="B1094" t="s">
        <v>1159</v>
      </c>
      <c r="G1094" t="str">
        <f t="shared" si="12"/>
        <v>13.20.0</v>
      </c>
      <c r="H1094" t="str">
        <f t="shared" si="13"/>
        <v>13.20.0 - Weberei</v>
      </c>
    </row>
    <row r="1095" spans="1:8" x14ac:dyDescent="0.25">
      <c r="A1095" t="s">
        <v>559</v>
      </c>
      <c r="B1095" t="s">
        <v>1160</v>
      </c>
      <c r="G1095" t="str">
        <f t="shared" si="12"/>
        <v>13.30.0</v>
      </c>
      <c r="H1095" t="str">
        <f t="shared" si="13"/>
        <v>13.30.0 - Veredlung von Textilien und Bekleidung</v>
      </c>
    </row>
    <row r="1096" spans="1:8" x14ac:dyDescent="0.25">
      <c r="A1096" t="s">
        <v>560</v>
      </c>
      <c r="B1096" t="s">
        <v>1161</v>
      </c>
      <c r="G1096" t="str">
        <f t="shared" si="12"/>
        <v>13.91.0</v>
      </c>
      <c r="H1096" t="str">
        <f t="shared" si="13"/>
        <v>13.91.0 - Herstellung von gewirktem und gestricktem Stoff</v>
      </c>
    </row>
    <row r="1097" spans="1:8" x14ac:dyDescent="0.25">
      <c r="A1097" t="s">
        <v>561</v>
      </c>
      <c r="B1097" t="s">
        <v>1162</v>
      </c>
      <c r="G1097" t="str">
        <f t="shared" si="12"/>
        <v>13.92.0</v>
      </c>
      <c r="H1097" t="str">
        <f t="shared" si="13"/>
        <v>13.92.0 - Herstellung von konfektionierten Textilwaren (ohne Bekleidung)</v>
      </c>
    </row>
    <row r="1098" spans="1:8" x14ac:dyDescent="0.25">
      <c r="A1098" t="s">
        <v>562</v>
      </c>
      <c r="B1098" t="s">
        <v>1163</v>
      </c>
      <c r="G1098" t="str">
        <f t="shared" si="12"/>
        <v>13.93.0</v>
      </c>
      <c r="H1098" t="str">
        <f t="shared" si="13"/>
        <v>13.93.0 - Herstellung von Teppichen</v>
      </c>
    </row>
    <row r="1099" spans="1:8" x14ac:dyDescent="0.25">
      <c r="A1099" t="s">
        <v>563</v>
      </c>
      <c r="B1099" t="s">
        <v>1164</v>
      </c>
      <c r="G1099" t="str">
        <f t="shared" si="12"/>
        <v>13.94.0</v>
      </c>
      <c r="H1099" t="str">
        <f t="shared" si="13"/>
        <v>13.94.0 - Herstellung von Seilerwaren</v>
      </c>
    </row>
    <row r="1100" spans="1:8" x14ac:dyDescent="0.25">
      <c r="A1100" t="s">
        <v>564</v>
      </c>
      <c r="B1100" t="s">
        <v>1165</v>
      </c>
      <c r="G1100" t="str">
        <f t="shared" si="12"/>
        <v>13.95.0</v>
      </c>
      <c r="H1100" t="str">
        <f t="shared" si="13"/>
        <v>13.95.0 - Herstellung von Vliesstoff und Erzeugnissen daraus (ohne Bekleidung)</v>
      </c>
    </row>
    <row r="1101" spans="1:8" x14ac:dyDescent="0.25">
      <c r="A1101" t="s">
        <v>565</v>
      </c>
      <c r="B1101" t="s">
        <v>1166</v>
      </c>
      <c r="G1101" t="str">
        <f t="shared" si="12"/>
        <v>13.96.0</v>
      </c>
      <c r="H1101" t="str">
        <f t="shared" si="13"/>
        <v>13.96.0 - Herstellung von technischen Textilien</v>
      </c>
    </row>
    <row r="1102" spans="1:8" x14ac:dyDescent="0.25">
      <c r="A1102" t="s">
        <v>566</v>
      </c>
      <c r="B1102" t="s">
        <v>1167</v>
      </c>
      <c r="G1102" t="str">
        <f t="shared" si="12"/>
        <v>13.99.0</v>
      </c>
      <c r="H1102" t="str">
        <f t="shared" si="13"/>
        <v>13.99.0 - Herstellung von sonstigen Textilwaren a. n. g.</v>
      </c>
    </row>
    <row r="1103" spans="1:8" x14ac:dyDescent="0.25">
      <c r="A1103" t="s">
        <v>567</v>
      </c>
      <c r="B1103" t="s">
        <v>1168</v>
      </c>
      <c r="G1103" t="str">
        <f t="shared" si="12"/>
        <v>14.11.0</v>
      </c>
      <c r="H1103" t="str">
        <f t="shared" si="13"/>
        <v>14.11.0 - Herstellung von Lederbekleidung</v>
      </c>
    </row>
    <row r="1104" spans="1:8" x14ac:dyDescent="0.25">
      <c r="A1104" t="s">
        <v>568</v>
      </c>
      <c r="B1104" t="s">
        <v>1169</v>
      </c>
      <c r="G1104" t="str">
        <f t="shared" si="12"/>
        <v>14.12.0</v>
      </c>
      <c r="H1104" t="str">
        <f t="shared" si="13"/>
        <v>14.12.0 - Herstellung von Arbeits- und Berufsbekleidung</v>
      </c>
    </row>
    <row r="1105" spans="1:8" x14ac:dyDescent="0.25">
      <c r="A1105" t="s">
        <v>569</v>
      </c>
      <c r="B1105" t="s">
        <v>1170</v>
      </c>
      <c r="G1105" t="str">
        <f t="shared" si="12"/>
        <v>14.13.1</v>
      </c>
      <c r="H1105" t="str">
        <f t="shared" si="13"/>
        <v>14.13.1 - Herstellung von gewebter Oberbekleidung für Herren und Knaben</v>
      </c>
    </row>
    <row r="1106" spans="1:8" x14ac:dyDescent="0.25">
      <c r="A1106" t="s">
        <v>569</v>
      </c>
      <c r="B1106" t="s">
        <v>1171</v>
      </c>
      <c r="G1106" t="str">
        <f t="shared" si="12"/>
        <v>14.13.2</v>
      </c>
      <c r="H1106" t="str">
        <f t="shared" si="13"/>
        <v>14.13.2 - Herstellung von gewebter Oberbekleidung für Damen und Mädchen</v>
      </c>
    </row>
    <row r="1107" spans="1:8" x14ac:dyDescent="0.25">
      <c r="A1107" t="s">
        <v>569</v>
      </c>
      <c r="B1107" t="s">
        <v>1172</v>
      </c>
      <c r="G1107" t="str">
        <f t="shared" si="12"/>
        <v>14.13.3</v>
      </c>
      <c r="H1107" t="str">
        <f t="shared" si="13"/>
        <v>14.13.3 - Herstellung von gewirkter und gestrickter Oberbekleidung</v>
      </c>
    </row>
    <row r="1108" spans="1:8" x14ac:dyDescent="0.25">
      <c r="A1108" t="s">
        <v>570</v>
      </c>
      <c r="B1108" t="s">
        <v>1173</v>
      </c>
      <c r="G1108" t="str">
        <f t="shared" si="12"/>
        <v>14.14.1</v>
      </c>
      <c r="H1108" t="str">
        <f t="shared" si="13"/>
        <v>14.14.1 - Herstellung von gewebter Wäsche (ohne Miederwaren)</v>
      </c>
    </row>
    <row r="1109" spans="1:8" x14ac:dyDescent="0.25">
      <c r="A1109" t="s">
        <v>570</v>
      </c>
      <c r="B1109" t="s">
        <v>1174</v>
      </c>
      <c r="G1109" t="str">
        <f t="shared" si="12"/>
        <v>14.14.2</v>
      </c>
      <c r="H1109" t="str">
        <f t="shared" si="13"/>
        <v>14.14.2 - Herstellung von gewirkter und gestrickter Wäsche (ohne Miederwaren)</v>
      </c>
    </row>
    <row r="1110" spans="1:8" x14ac:dyDescent="0.25">
      <c r="A1110" t="s">
        <v>570</v>
      </c>
      <c r="B1110" t="s">
        <v>1175</v>
      </c>
      <c r="G1110" t="str">
        <f t="shared" si="12"/>
        <v>14.14.3</v>
      </c>
      <c r="H1110" t="str">
        <f t="shared" si="13"/>
        <v>14.14.3 - Herstellung von Miederwaren</v>
      </c>
    </row>
    <row r="1111" spans="1:8" x14ac:dyDescent="0.25">
      <c r="A1111" t="s">
        <v>571</v>
      </c>
      <c r="B1111" t="s">
        <v>1176</v>
      </c>
      <c r="G1111" t="str">
        <f t="shared" si="12"/>
        <v>14.19.0</v>
      </c>
      <c r="H1111" t="str">
        <f t="shared" si="13"/>
        <v>14.19.0 - Herstellung von sonstiger Bekleidung und Bekleidungszubehör a. n. g.</v>
      </c>
    </row>
    <row r="1112" spans="1:8" x14ac:dyDescent="0.25">
      <c r="A1112" t="s">
        <v>572</v>
      </c>
      <c r="B1112" t="s">
        <v>1177</v>
      </c>
      <c r="G1112" t="str">
        <f t="shared" si="12"/>
        <v>14.20.0</v>
      </c>
      <c r="H1112" t="str">
        <f t="shared" si="13"/>
        <v>14.20.0 - Herstellung von Pelzwaren</v>
      </c>
    </row>
    <row r="1113" spans="1:8" x14ac:dyDescent="0.25">
      <c r="A1113" t="s">
        <v>573</v>
      </c>
      <c r="B1113" t="s">
        <v>1178</v>
      </c>
      <c r="G1113" t="str">
        <f t="shared" si="12"/>
        <v>14.31.0</v>
      </c>
      <c r="H1113" t="str">
        <f t="shared" si="13"/>
        <v>14.31.0 - Herstellung von Strumpfwaren</v>
      </c>
    </row>
    <row r="1114" spans="1:8" x14ac:dyDescent="0.25">
      <c r="A1114" t="s">
        <v>574</v>
      </c>
      <c r="B1114" t="s">
        <v>1179</v>
      </c>
      <c r="G1114" t="str">
        <f t="shared" si="12"/>
        <v>14.39.0</v>
      </c>
      <c r="H1114" t="str">
        <f t="shared" si="13"/>
        <v>14.39.0 - Herstellung von sonstiger Bekleidung aus gewirktem und gestricktem Stoff</v>
      </c>
    </row>
    <row r="1115" spans="1:8" x14ac:dyDescent="0.25">
      <c r="A1115" t="s">
        <v>575</v>
      </c>
      <c r="B1115" t="s">
        <v>1180</v>
      </c>
      <c r="G1115" t="str">
        <f t="shared" si="12"/>
        <v>15.11.0</v>
      </c>
      <c r="H1115" t="str">
        <f t="shared" si="13"/>
        <v>15.11.0 - Herstellung von Leder und Lederfaserstoff; Zurichtung und Färben von Fellen</v>
      </c>
    </row>
    <row r="1116" spans="1:8" x14ac:dyDescent="0.25">
      <c r="A1116" t="s">
        <v>576</v>
      </c>
      <c r="B1116" t="s">
        <v>1181</v>
      </c>
      <c r="G1116" t="str">
        <f t="shared" si="12"/>
        <v>15.12.0</v>
      </c>
      <c r="H1116" t="str">
        <f t="shared" si="13"/>
        <v>15.12.0 - Lederverarbeitung (ohne Herstellung von Lederbekleidung)</v>
      </c>
    </row>
    <row r="1117" spans="1:8" x14ac:dyDescent="0.25">
      <c r="A1117" t="s">
        <v>577</v>
      </c>
      <c r="B1117" t="s">
        <v>1182</v>
      </c>
      <c r="G1117" t="str">
        <f t="shared" si="12"/>
        <v>15.20.0</v>
      </c>
      <c r="H1117" t="str">
        <f t="shared" si="13"/>
        <v>15.20.0 - Herstellung von Schuhen</v>
      </c>
    </row>
    <row r="1118" spans="1:8" x14ac:dyDescent="0.25">
      <c r="A1118" t="s">
        <v>578</v>
      </c>
      <c r="B1118" t="s">
        <v>1183</v>
      </c>
      <c r="G1118" t="str">
        <f t="shared" si="12"/>
        <v>16.10.0</v>
      </c>
      <c r="H1118" t="str">
        <f t="shared" si="13"/>
        <v>16.10.0 - Säge-, Hobel- und Holzimprägnierwerke</v>
      </c>
    </row>
    <row r="1119" spans="1:8" x14ac:dyDescent="0.25">
      <c r="A1119" t="s">
        <v>579</v>
      </c>
      <c r="B1119" t="s">
        <v>1184</v>
      </c>
      <c r="G1119" t="str">
        <f t="shared" si="12"/>
        <v>16.21.0</v>
      </c>
      <c r="H1119" t="str">
        <f t="shared" si="13"/>
        <v>16.21.0 - Herstellung von Furnier-, Sperrholz-, Holzfaser- und Holzspanplatten</v>
      </c>
    </row>
    <row r="1120" spans="1:8" x14ac:dyDescent="0.25">
      <c r="A1120" t="s">
        <v>580</v>
      </c>
      <c r="B1120" t="s">
        <v>1185</v>
      </c>
      <c r="G1120" t="str">
        <f t="shared" si="12"/>
        <v>16.22.0</v>
      </c>
      <c r="H1120" t="str">
        <f t="shared" si="13"/>
        <v>16.22.0 - Herstellung von Parketttafeln</v>
      </c>
    </row>
    <row r="1121" spans="1:8" x14ac:dyDescent="0.25">
      <c r="A1121" t="s">
        <v>581</v>
      </c>
      <c r="B1121" t="s">
        <v>1186</v>
      </c>
      <c r="G1121" t="str">
        <f t="shared" si="12"/>
        <v>16.23.0</v>
      </c>
      <c r="H1121" t="str">
        <f t="shared" si="13"/>
        <v>16.23.0 - Herstellung von sonstigen Konstruktionsteilen, Fertigbauteilen, Ausbauelementen und Fertigteilbauten aus Holz</v>
      </c>
    </row>
    <row r="1122" spans="1:8" x14ac:dyDescent="0.25">
      <c r="A1122" t="s">
        <v>582</v>
      </c>
      <c r="B1122" t="s">
        <v>1187</v>
      </c>
      <c r="G1122" t="str">
        <f t="shared" si="12"/>
        <v>16.24.0</v>
      </c>
      <c r="H1122" t="str">
        <f t="shared" si="13"/>
        <v>16.24.0 - Herstellung von Verpackungsmitteln, Lagerbehältern und Ladungsträgern aus Holz</v>
      </c>
    </row>
    <row r="1123" spans="1:8" x14ac:dyDescent="0.25">
      <c r="A1123" t="s">
        <v>583</v>
      </c>
      <c r="B1123" t="s">
        <v>1188</v>
      </c>
      <c r="G1123" t="str">
        <f t="shared" si="12"/>
        <v>16.29.0</v>
      </c>
      <c r="H1123" t="str">
        <f t="shared" si="13"/>
        <v>16.29.0 - Herstellung von Holzwaren a. n. g., Kork-, Flecht- und Korbwaren (ohne Möbel)</v>
      </c>
    </row>
    <row r="1124" spans="1:8" x14ac:dyDescent="0.25">
      <c r="A1124" t="s">
        <v>584</v>
      </c>
      <c r="B1124" t="s">
        <v>1189</v>
      </c>
      <c r="G1124" t="str">
        <f t="shared" si="12"/>
        <v>17.11.0</v>
      </c>
      <c r="H1124" t="str">
        <f t="shared" si="13"/>
        <v>17.11.0 - Herstellung von Holz- und Zellstoff</v>
      </c>
    </row>
    <row r="1125" spans="1:8" x14ac:dyDescent="0.25">
      <c r="A1125" t="s">
        <v>585</v>
      </c>
      <c r="B1125" t="s">
        <v>1190</v>
      </c>
      <c r="G1125" t="str">
        <f t="shared" si="12"/>
        <v>17.12.0</v>
      </c>
      <c r="H1125" t="str">
        <f t="shared" si="13"/>
        <v>17.12.0 - Herstellung von Papier, Karton und Pappe</v>
      </c>
    </row>
    <row r="1126" spans="1:8" x14ac:dyDescent="0.25">
      <c r="A1126" t="s">
        <v>586</v>
      </c>
      <c r="B1126" t="s">
        <v>1191</v>
      </c>
      <c r="G1126" t="str">
        <f t="shared" si="12"/>
        <v>17.21.0</v>
      </c>
      <c r="H1126" t="str">
        <f t="shared" si="13"/>
        <v>17.21.0 - Herstellung von Wellpapier und -pappe sowie von Verpackungsmitteln aus Papier, Karton und Pappe</v>
      </c>
    </row>
    <row r="1127" spans="1:8" x14ac:dyDescent="0.25">
      <c r="A1127" t="s">
        <v>587</v>
      </c>
      <c r="B1127" t="s">
        <v>1192</v>
      </c>
      <c r="G1127" t="str">
        <f t="shared" ref="G1127:G1190" si="14">MID(B1127,1,7)</f>
        <v>17.22.0</v>
      </c>
      <c r="H1127" t="str">
        <f t="shared" si="13"/>
        <v>17.22.0 - Herstellung von Haushalts-, Hygiene- und Toilettenartikeln aus Zellstoff, Papier und Pappe</v>
      </c>
    </row>
    <row r="1128" spans="1:8" x14ac:dyDescent="0.25">
      <c r="A1128" t="s">
        <v>588</v>
      </c>
      <c r="B1128" t="s">
        <v>1193</v>
      </c>
      <c r="G1128" t="str">
        <f t="shared" si="14"/>
        <v>17.23.0</v>
      </c>
      <c r="H1128" t="str">
        <f t="shared" ref="H1128:H1191" si="15">B1128</f>
        <v>17.23.0 - Herstellung von Schreibwaren und Bürobedarf aus Papier, Karton und Pappe</v>
      </c>
    </row>
    <row r="1129" spans="1:8" x14ac:dyDescent="0.25">
      <c r="A1129" t="s">
        <v>589</v>
      </c>
      <c r="B1129" t="s">
        <v>1194</v>
      </c>
      <c r="G1129" t="str">
        <f t="shared" si="14"/>
        <v>17.24.0</v>
      </c>
      <c r="H1129" t="str">
        <f t="shared" si="15"/>
        <v>17.24.0 - Herstellung von Tapeten</v>
      </c>
    </row>
    <row r="1130" spans="1:8" x14ac:dyDescent="0.25">
      <c r="A1130" t="s">
        <v>590</v>
      </c>
      <c r="B1130" t="s">
        <v>1195</v>
      </c>
      <c r="G1130" t="str">
        <f t="shared" si="14"/>
        <v>17.29.0</v>
      </c>
      <c r="H1130" t="str">
        <f t="shared" si="15"/>
        <v>17.29.0 - Herstellung von sonstigen Waren aus Papier, Karton und Pappe</v>
      </c>
    </row>
    <row r="1131" spans="1:8" x14ac:dyDescent="0.25">
      <c r="A1131" t="s">
        <v>591</v>
      </c>
      <c r="B1131" t="s">
        <v>1196</v>
      </c>
      <c r="G1131" t="str">
        <f t="shared" si="14"/>
        <v>18.11.0</v>
      </c>
      <c r="H1131" t="str">
        <f t="shared" si="15"/>
        <v>18.11.0 - Drucken von Zeitungen</v>
      </c>
    </row>
    <row r="1132" spans="1:8" x14ac:dyDescent="0.25">
      <c r="A1132" t="s">
        <v>592</v>
      </c>
      <c r="B1132" t="s">
        <v>1197</v>
      </c>
      <c r="G1132" t="str">
        <f t="shared" si="14"/>
        <v>18.12.0</v>
      </c>
      <c r="H1132" t="str">
        <f t="shared" si="15"/>
        <v>18.12.0 - Drucken a. n. g.</v>
      </c>
    </row>
    <row r="1133" spans="1:8" x14ac:dyDescent="0.25">
      <c r="A1133" t="s">
        <v>593</v>
      </c>
      <c r="B1133" t="s">
        <v>1198</v>
      </c>
      <c r="G1133" t="str">
        <f t="shared" si="14"/>
        <v>18.13.0</v>
      </c>
      <c r="H1133" t="str">
        <f t="shared" si="15"/>
        <v>18.13.0 - Druck- und Medienvorstufe</v>
      </c>
    </row>
    <row r="1134" spans="1:8" x14ac:dyDescent="0.25">
      <c r="A1134" t="s">
        <v>594</v>
      </c>
      <c r="B1134" t="s">
        <v>1199</v>
      </c>
      <c r="G1134" t="str">
        <f t="shared" si="14"/>
        <v>18.14.0</v>
      </c>
      <c r="H1134" t="str">
        <f t="shared" si="15"/>
        <v>18.14.0 - Binden von Druckerzeugnissen und damit verbundene Dienstleistungen</v>
      </c>
    </row>
    <row r="1135" spans="1:8" x14ac:dyDescent="0.25">
      <c r="A1135" t="s">
        <v>595</v>
      </c>
      <c r="B1135" t="s">
        <v>1200</v>
      </c>
      <c r="G1135" t="str">
        <f t="shared" si="14"/>
        <v>18.20.0</v>
      </c>
      <c r="H1135" t="str">
        <f t="shared" si="15"/>
        <v>18.20.0 - Vervielfältigung von bespielten Ton-, Bild- und Datenträgern</v>
      </c>
    </row>
    <row r="1136" spans="1:8" x14ac:dyDescent="0.25">
      <c r="A1136" t="s">
        <v>596</v>
      </c>
      <c r="B1136" t="s">
        <v>1201</v>
      </c>
      <c r="G1136" t="str">
        <f t="shared" si="14"/>
        <v>19.10.0</v>
      </c>
      <c r="H1136" t="str">
        <f t="shared" si="15"/>
        <v>19.10.0 - Kokerei</v>
      </c>
    </row>
    <row r="1137" spans="1:8" x14ac:dyDescent="0.25">
      <c r="A1137" t="s">
        <v>597</v>
      </c>
      <c r="B1137" t="s">
        <v>1202</v>
      </c>
      <c r="G1137" t="str">
        <f t="shared" si="14"/>
        <v>19.20.0</v>
      </c>
      <c r="H1137" t="str">
        <f t="shared" si="15"/>
        <v>19.20.0 - Mineralölverarbeitung</v>
      </c>
    </row>
    <row r="1138" spans="1:8" x14ac:dyDescent="0.25">
      <c r="A1138" t="s">
        <v>598</v>
      </c>
      <c r="B1138" t="s">
        <v>1203</v>
      </c>
      <c r="G1138" t="str">
        <f t="shared" si="14"/>
        <v>20.11.0</v>
      </c>
      <c r="H1138" t="str">
        <f t="shared" si="15"/>
        <v>20.11.0 - Herstellung von Industriegasen</v>
      </c>
    </row>
    <row r="1139" spans="1:8" x14ac:dyDescent="0.25">
      <c r="A1139" t="s">
        <v>599</v>
      </c>
      <c r="B1139" t="s">
        <v>1204</v>
      </c>
      <c r="G1139" t="str">
        <f t="shared" si="14"/>
        <v>20.12.0</v>
      </c>
      <c r="H1139" t="str">
        <f t="shared" si="15"/>
        <v>20.12.0 - Herstellung von Farbstoffen und Pigmenten</v>
      </c>
    </row>
    <row r="1140" spans="1:8" x14ac:dyDescent="0.25">
      <c r="A1140" t="s">
        <v>600</v>
      </c>
      <c r="B1140" t="s">
        <v>1205</v>
      </c>
      <c r="G1140" t="str">
        <f t="shared" si="14"/>
        <v>20.13.0</v>
      </c>
      <c r="H1140" t="str">
        <f t="shared" si="15"/>
        <v>20.13.0 - Herstellung von sonstigen anorganischen Grundstoffen und Chemikalien</v>
      </c>
    </row>
    <row r="1141" spans="1:8" x14ac:dyDescent="0.25">
      <c r="A1141" t="s">
        <v>601</v>
      </c>
      <c r="B1141" t="s">
        <v>1206</v>
      </c>
      <c r="G1141" t="str">
        <f t="shared" si="14"/>
        <v>20.14.0</v>
      </c>
      <c r="H1141" t="str">
        <f t="shared" si="15"/>
        <v>20.14.0 - Herstellung von sonstigen organischen Grundstoffen und Chemikalien</v>
      </c>
    </row>
    <row r="1142" spans="1:8" x14ac:dyDescent="0.25">
      <c r="A1142" t="s">
        <v>602</v>
      </c>
      <c r="B1142" t="s">
        <v>1207</v>
      </c>
      <c r="G1142" t="str">
        <f t="shared" si="14"/>
        <v>20.15.0</v>
      </c>
      <c r="H1142" t="str">
        <f t="shared" si="15"/>
        <v>20.15.0 - Herstellung von Düngemitteln und Stickstoffverbindungen</v>
      </c>
    </row>
    <row r="1143" spans="1:8" x14ac:dyDescent="0.25">
      <c r="A1143" t="s">
        <v>603</v>
      </c>
      <c r="B1143" t="s">
        <v>1208</v>
      </c>
      <c r="G1143" t="str">
        <f t="shared" si="14"/>
        <v>20.16.0</v>
      </c>
      <c r="H1143" t="str">
        <f t="shared" si="15"/>
        <v>20.16.0 - Herstellung von Kunststoffen in Primärformen</v>
      </c>
    </row>
    <row r="1144" spans="1:8" x14ac:dyDescent="0.25">
      <c r="A1144" t="s">
        <v>604</v>
      </c>
      <c r="B1144" t="s">
        <v>1209</v>
      </c>
      <c r="G1144" t="str">
        <f t="shared" si="14"/>
        <v>20.17.0</v>
      </c>
      <c r="H1144" t="str">
        <f t="shared" si="15"/>
        <v>20.17.0 - Herstellung von synthetischem Kautschuk in Primärformen</v>
      </c>
    </row>
    <row r="1145" spans="1:8" x14ac:dyDescent="0.25">
      <c r="A1145" t="s">
        <v>605</v>
      </c>
      <c r="B1145" t="s">
        <v>1210</v>
      </c>
      <c r="G1145" t="str">
        <f t="shared" si="14"/>
        <v>20.20.0</v>
      </c>
      <c r="H1145" t="str">
        <f t="shared" si="15"/>
        <v>20.20.0 - Herstellung von Schädlingsbekämpfungs-, Pflanzenschutz- und Desinfektionsmitteln</v>
      </c>
    </row>
    <row r="1146" spans="1:8" x14ac:dyDescent="0.25">
      <c r="A1146" t="s">
        <v>606</v>
      </c>
      <c r="B1146" t="s">
        <v>1211</v>
      </c>
      <c r="G1146" t="str">
        <f t="shared" si="14"/>
        <v>20.30.0</v>
      </c>
      <c r="H1146" t="str">
        <f t="shared" si="15"/>
        <v>20.30.0 - Herstellung von Anstrichmitteln, Druckfarben und Kitten</v>
      </c>
    </row>
    <row r="1147" spans="1:8" x14ac:dyDescent="0.25">
      <c r="A1147" t="s">
        <v>607</v>
      </c>
      <c r="B1147" t="s">
        <v>1212</v>
      </c>
      <c r="G1147" t="str">
        <f t="shared" si="14"/>
        <v>20.41.0</v>
      </c>
      <c r="H1147" t="str">
        <f t="shared" si="15"/>
        <v>20.41.0 - Herstellung von Seifen, Wasch-, Reinigungs- und Poliermitteln</v>
      </c>
    </row>
    <row r="1148" spans="1:8" x14ac:dyDescent="0.25">
      <c r="A1148" t="s">
        <v>608</v>
      </c>
      <c r="B1148" t="s">
        <v>1213</v>
      </c>
      <c r="G1148" t="str">
        <f t="shared" si="14"/>
        <v>20.42.0</v>
      </c>
      <c r="H1148" t="str">
        <f t="shared" si="15"/>
        <v>20.42.0 - Herstellung von Körperpflegemitteln und Duftstoffen</v>
      </c>
    </row>
    <row r="1149" spans="1:8" x14ac:dyDescent="0.25">
      <c r="A1149" t="s">
        <v>609</v>
      </c>
      <c r="B1149" t="s">
        <v>1214</v>
      </c>
      <c r="G1149" t="str">
        <f t="shared" si="14"/>
        <v>20.51.0</v>
      </c>
      <c r="H1149" t="str">
        <f t="shared" si="15"/>
        <v>20.51.0 - Herstellung von pyrotechnischen Erzeugnissen</v>
      </c>
    </row>
    <row r="1150" spans="1:8" x14ac:dyDescent="0.25">
      <c r="A1150" t="s">
        <v>610</v>
      </c>
      <c r="B1150" t="s">
        <v>1215</v>
      </c>
      <c r="G1150" t="str">
        <f t="shared" si="14"/>
        <v>20.52.0</v>
      </c>
      <c r="H1150" t="str">
        <f t="shared" si="15"/>
        <v>20.52.0 - Herstellung von Klebstoffen</v>
      </c>
    </row>
    <row r="1151" spans="1:8" x14ac:dyDescent="0.25">
      <c r="A1151" t="s">
        <v>611</v>
      </c>
      <c r="B1151" t="s">
        <v>1216</v>
      </c>
      <c r="G1151" t="str">
        <f t="shared" si="14"/>
        <v>20.53.0</v>
      </c>
      <c r="H1151" t="str">
        <f t="shared" si="15"/>
        <v>20.53.0 - Herstellung von etherischen Ölen</v>
      </c>
    </row>
    <row r="1152" spans="1:8" x14ac:dyDescent="0.25">
      <c r="A1152" t="s">
        <v>612</v>
      </c>
      <c r="B1152" t="s">
        <v>1217</v>
      </c>
      <c r="G1152" t="str">
        <f t="shared" si="14"/>
        <v>20.59.0</v>
      </c>
      <c r="H1152" t="str">
        <f t="shared" si="15"/>
        <v>20.59.0 - Herstellung von sonstigen chemischen Erzeugnissen a. n. g.</v>
      </c>
    </row>
    <row r="1153" spans="1:8" x14ac:dyDescent="0.25">
      <c r="A1153" t="s">
        <v>613</v>
      </c>
      <c r="B1153" t="s">
        <v>1218</v>
      </c>
      <c r="G1153" t="str">
        <f t="shared" si="14"/>
        <v>20.60.0</v>
      </c>
      <c r="H1153" t="str">
        <f t="shared" si="15"/>
        <v>20.60.0 - Herstellung von Chemiefasern</v>
      </c>
    </row>
    <row r="1154" spans="1:8" x14ac:dyDescent="0.25">
      <c r="A1154" t="s">
        <v>614</v>
      </c>
      <c r="B1154" t="s">
        <v>1219</v>
      </c>
      <c r="G1154" t="str">
        <f t="shared" si="14"/>
        <v>21.10.0</v>
      </c>
      <c r="H1154" t="str">
        <f t="shared" si="15"/>
        <v>21.10.0 - Herstellung von pharmazeutischen Grundstoffen</v>
      </c>
    </row>
    <row r="1155" spans="1:8" x14ac:dyDescent="0.25">
      <c r="A1155" t="s">
        <v>615</v>
      </c>
      <c r="B1155" t="s">
        <v>1220</v>
      </c>
      <c r="G1155" t="str">
        <f t="shared" si="14"/>
        <v>21.20.0</v>
      </c>
      <c r="H1155" t="str">
        <f t="shared" si="15"/>
        <v>21.20.0 - Herstellung von pharmazeutischen Spezialitäten und sonstigen pharmazeutischen Erzeugnissen</v>
      </c>
    </row>
    <row r="1156" spans="1:8" x14ac:dyDescent="0.25">
      <c r="A1156" t="s">
        <v>616</v>
      </c>
      <c r="B1156" t="s">
        <v>1221</v>
      </c>
      <c r="G1156" t="str">
        <f t="shared" si="14"/>
        <v>22.11.0</v>
      </c>
      <c r="H1156" t="str">
        <f t="shared" si="15"/>
        <v>22.11.0 - Herstellung und Runderneuerung von Bereifungen</v>
      </c>
    </row>
    <row r="1157" spans="1:8" x14ac:dyDescent="0.25">
      <c r="A1157" t="s">
        <v>617</v>
      </c>
      <c r="B1157" t="s">
        <v>1222</v>
      </c>
      <c r="G1157" t="str">
        <f t="shared" si="14"/>
        <v>22.19.0</v>
      </c>
      <c r="H1157" t="str">
        <f t="shared" si="15"/>
        <v>22.19.0 - Herstellung von sonstigen Gummiwaren</v>
      </c>
    </row>
    <row r="1158" spans="1:8" x14ac:dyDescent="0.25">
      <c r="A1158" t="s">
        <v>618</v>
      </c>
      <c r="B1158" t="s">
        <v>1223</v>
      </c>
      <c r="G1158" t="str">
        <f t="shared" si="14"/>
        <v>22.21.0</v>
      </c>
      <c r="H1158" t="str">
        <f t="shared" si="15"/>
        <v>22.21.0 - Herstellung von Platten, Folien, Schläuchen und Profilen aus Kunststoffen</v>
      </c>
    </row>
    <row r="1159" spans="1:8" x14ac:dyDescent="0.25">
      <c r="A1159" t="s">
        <v>619</v>
      </c>
      <c r="B1159" t="s">
        <v>1224</v>
      </c>
      <c r="G1159" t="str">
        <f t="shared" si="14"/>
        <v>22.22.0</v>
      </c>
      <c r="H1159" t="str">
        <f t="shared" si="15"/>
        <v>22.22.0 - Herstellung von Verpackungsmitteln aus Kunststoffen</v>
      </c>
    </row>
    <row r="1160" spans="1:8" x14ac:dyDescent="0.25">
      <c r="A1160" t="s">
        <v>620</v>
      </c>
      <c r="B1160" t="s">
        <v>1225</v>
      </c>
      <c r="G1160" t="str">
        <f t="shared" si="14"/>
        <v>22.23.0</v>
      </c>
      <c r="H1160" t="str">
        <f t="shared" si="15"/>
        <v>22.23.0 - Herstellung von Baubedarfsartikeln aus Kunststoffen</v>
      </c>
    </row>
    <row r="1161" spans="1:8" x14ac:dyDescent="0.25">
      <c r="A1161" t="s">
        <v>621</v>
      </c>
      <c r="B1161" t="s">
        <v>1226</v>
      </c>
      <c r="G1161" t="str">
        <f t="shared" si="14"/>
        <v>22.29.0</v>
      </c>
      <c r="H1161" t="str">
        <f t="shared" si="15"/>
        <v>22.29.0 - Herstellung von sonstigen Kunststoffwaren</v>
      </c>
    </row>
    <row r="1162" spans="1:8" x14ac:dyDescent="0.25">
      <c r="A1162" t="s">
        <v>622</v>
      </c>
      <c r="B1162" t="s">
        <v>1227</v>
      </c>
      <c r="G1162" t="str">
        <f t="shared" si="14"/>
        <v>23.11.0</v>
      </c>
      <c r="H1162" t="str">
        <f t="shared" si="15"/>
        <v>23.11.0 - Herstellung von Flachglas</v>
      </c>
    </row>
    <row r="1163" spans="1:8" x14ac:dyDescent="0.25">
      <c r="A1163" t="s">
        <v>623</v>
      </c>
      <c r="B1163" t="s">
        <v>1228</v>
      </c>
      <c r="G1163" t="str">
        <f t="shared" si="14"/>
        <v>23.12.0</v>
      </c>
      <c r="H1163" t="str">
        <f t="shared" si="15"/>
        <v>23.12.0 - Veredlung und Bearbeitung von Flachglas</v>
      </c>
    </row>
    <row r="1164" spans="1:8" x14ac:dyDescent="0.25">
      <c r="A1164" t="s">
        <v>624</v>
      </c>
      <c r="B1164" t="s">
        <v>1229</v>
      </c>
      <c r="G1164" t="str">
        <f t="shared" si="14"/>
        <v>23.13.0</v>
      </c>
      <c r="H1164" t="str">
        <f t="shared" si="15"/>
        <v>23.13.0 - Herstellung von Hohlglas</v>
      </c>
    </row>
    <row r="1165" spans="1:8" x14ac:dyDescent="0.25">
      <c r="A1165" t="s">
        <v>625</v>
      </c>
      <c r="B1165" t="s">
        <v>1230</v>
      </c>
      <c r="G1165" t="str">
        <f t="shared" si="14"/>
        <v>23.14.0</v>
      </c>
      <c r="H1165" t="str">
        <f t="shared" si="15"/>
        <v>23.14.0 - Herstellung von Glasfasern und Waren daraus</v>
      </c>
    </row>
    <row r="1166" spans="1:8" x14ac:dyDescent="0.25">
      <c r="A1166" t="s">
        <v>626</v>
      </c>
      <c r="B1166" t="s">
        <v>1231</v>
      </c>
      <c r="G1166" t="str">
        <f t="shared" si="14"/>
        <v>23.19.0</v>
      </c>
      <c r="H1166" t="str">
        <f t="shared" si="15"/>
        <v>23.19.0 - Herstellung, Veredlung und Bearbeitung von sonstigem Glas einschließlich technischen Glaswaren</v>
      </c>
    </row>
    <row r="1167" spans="1:8" x14ac:dyDescent="0.25">
      <c r="A1167" t="s">
        <v>627</v>
      </c>
      <c r="B1167" t="s">
        <v>1232</v>
      </c>
      <c r="G1167" t="str">
        <f t="shared" si="14"/>
        <v>23.20.0</v>
      </c>
      <c r="H1167" t="str">
        <f t="shared" si="15"/>
        <v>23.20.0 - Herstellung von feuerfesten keramischen Werkstoffen und Waren</v>
      </c>
    </row>
    <row r="1168" spans="1:8" x14ac:dyDescent="0.25">
      <c r="A1168" t="s">
        <v>628</v>
      </c>
      <c r="B1168" t="s">
        <v>1233</v>
      </c>
      <c r="G1168" t="str">
        <f t="shared" si="14"/>
        <v>23.31.0</v>
      </c>
      <c r="H1168" t="str">
        <f t="shared" si="15"/>
        <v>23.31.0 - Herstellung von keramischen Wand- und Bodenfliesen und -platten</v>
      </c>
    </row>
    <row r="1169" spans="1:8" x14ac:dyDescent="0.25">
      <c r="A1169" t="s">
        <v>629</v>
      </c>
      <c r="B1169" t="s">
        <v>1234</v>
      </c>
      <c r="G1169" t="str">
        <f t="shared" si="14"/>
        <v>23.32.0</v>
      </c>
      <c r="H1169" t="str">
        <f t="shared" si="15"/>
        <v>23.32.0 - Herstellung von Ziegeln und sonstiger Baukeramik</v>
      </c>
    </row>
    <row r="1170" spans="1:8" x14ac:dyDescent="0.25">
      <c r="A1170" t="s">
        <v>630</v>
      </c>
      <c r="B1170" t="s">
        <v>1235</v>
      </c>
      <c r="G1170" t="str">
        <f t="shared" si="14"/>
        <v>23.41.0</v>
      </c>
      <c r="H1170" t="str">
        <f t="shared" si="15"/>
        <v>23.41.0 - Herstellung von keramischen Haushaltswaren und Ziergegenständen</v>
      </c>
    </row>
    <row r="1171" spans="1:8" x14ac:dyDescent="0.25">
      <c r="A1171" t="s">
        <v>631</v>
      </c>
      <c r="B1171" t="s">
        <v>1236</v>
      </c>
      <c r="G1171" t="str">
        <f t="shared" si="14"/>
        <v>23.42.0</v>
      </c>
      <c r="H1171" t="str">
        <f t="shared" si="15"/>
        <v>23.42.0 - Herstellung von Sanitärkeramik</v>
      </c>
    </row>
    <row r="1172" spans="1:8" x14ac:dyDescent="0.25">
      <c r="A1172" t="s">
        <v>632</v>
      </c>
      <c r="B1172" t="s">
        <v>1237</v>
      </c>
      <c r="G1172" t="str">
        <f t="shared" si="14"/>
        <v>23.43.0</v>
      </c>
      <c r="H1172" t="str">
        <f t="shared" si="15"/>
        <v>23.43.0 - Herstellung von Isolatoren und Isolierteilen aus Keramik</v>
      </c>
    </row>
    <row r="1173" spans="1:8" x14ac:dyDescent="0.25">
      <c r="A1173" t="s">
        <v>633</v>
      </c>
      <c r="B1173" t="s">
        <v>1238</v>
      </c>
      <c r="G1173" t="str">
        <f t="shared" si="14"/>
        <v>23.44.0</v>
      </c>
      <c r="H1173" t="str">
        <f t="shared" si="15"/>
        <v>23.44.0 - Herstellung von keramischen Erzeugnissen für sonstige technische Zwecke</v>
      </c>
    </row>
    <row r="1174" spans="1:8" x14ac:dyDescent="0.25">
      <c r="A1174" t="s">
        <v>634</v>
      </c>
      <c r="B1174" t="s">
        <v>1239</v>
      </c>
      <c r="G1174" t="str">
        <f t="shared" si="14"/>
        <v>23.49.0</v>
      </c>
      <c r="H1174" t="str">
        <f t="shared" si="15"/>
        <v>23.49.0 - Herstellung von sonstigen keramischen Erzeugnissen</v>
      </c>
    </row>
    <row r="1175" spans="1:8" x14ac:dyDescent="0.25">
      <c r="A1175" t="s">
        <v>635</v>
      </c>
      <c r="B1175" t="s">
        <v>1240</v>
      </c>
      <c r="G1175" t="str">
        <f t="shared" si="14"/>
        <v>23.51.0</v>
      </c>
      <c r="H1175" t="str">
        <f t="shared" si="15"/>
        <v>23.51.0 - Herstellung von Zement</v>
      </c>
    </row>
    <row r="1176" spans="1:8" x14ac:dyDescent="0.25">
      <c r="A1176" t="s">
        <v>636</v>
      </c>
      <c r="B1176" t="s">
        <v>1241</v>
      </c>
      <c r="G1176" t="str">
        <f t="shared" si="14"/>
        <v>23.52.0</v>
      </c>
      <c r="H1176" t="str">
        <f t="shared" si="15"/>
        <v>23.52.0 - Herstellung von Kalk und gebranntem Gips</v>
      </c>
    </row>
    <row r="1177" spans="1:8" x14ac:dyDescent="0.25">
      <c r="A1177" t="s">
        <v>637</v>
      </c>
      <c r="B1177" t="s">
        <v>1242</v>
      </c>
      <c r="G1177" t="str">
        <f t="shared" si="14"/>
        <v>23.61.0</v>
      </c>
      <c r="H1177" t="str">
        <f t="shared" si="15"/>
        <v>23.61.0 - Herstellung von Erzeugnissen aus Beton, Zement und Kalksandstein für den Bau</v>
      </c>
    </row>
    <row r="1178" spans="1:8" x14ac:dyDescent="0.25">
      <c r="A1178" t="s">
        <v>638</v>
      </c>
      <c r="B1178" t="s">
        <v>1243</v>
      </c>
      <c r="G1178" t="str">
        <f t="shared" si="14"/>
        <v>23.62.0</v>
      </c>
      <c r="H1178" t="str">
        <f t="shared" si="15"/>
        <v>23.62.0 - Herstellung von Gipserzeugnissen für den Bau</v>
      </c>
    </row>
    <row r="1179" spans="1:8" x14ac:dyDescent="0.25">
      <c r="A1179" t="s">
        <v>639</v>
      </c>
      <c r="B1179" t="s">
        <v>1244</v>
      </c>
      <c r="G1179" t="str">
        <f t="shared" si="14"/>
        <v>23.63.0</v>
      </c>
      <c r="H1179" t="str">
        <f t="shared" si="15"/>
        <v>23.63.0 - Herstellung von Frischbeton (Transportbeton)</v>
      </c>
    </row>
    <row r="1180" spans="1:8" x14ac:dyDescent="0.25">
      <c r="A1180" t="s">
        <v>640</v>
      </c>
      <c r="B1180" t="s">
        <v>1245</v>
      </c>
      <c r="G1180" t="str">
        <f t="shared" si="14"/>
        <v>23.64.0</v>
      </c>
      <c r="H1180" t="str">
        <f t="shared" si="15"/>
        <v>23.64.0 - Herstellung von Mörtel und anderem Beton (Trockenbeton)</v>
      </c>
    </row>
    <row r="1181" spans="1:8" x14ac:dyDescent="0.25">
      <c r="A1181" t="s">
        <v>641</v>
      </c>
      <c r="B1181" t="s">
        <v>1246</v>
      </c>
      <c r="G1181" t="str">
        <f t="shared" si="14"/>
        <v>23.65.0</v>
      </c>
      <c r="H1181" t="str">
        <f t="shared" si="15"/>
        <v>23.65.0 - Herstellung von Faserzementwaren</v>
      </c>
    </row>
    <row r="1182" spans="1:8" x14ac:dyDescent="0.25">
      <c r="A1182" t="s">
        <v>642</v>
      </c>
      <c r="B1182" t="s">
        <v>1247</v>
      </c>
      <c r="G1182" t="str">
        <f t="shared" si="14"/>
        <v>23.69.0</v>
      </c>
      <c r="H1182" t="str">
        <f t="shared" si="15"/>
        <v>23.69.0 - Herstellung von sonstigen Erzeugnissen aus Beton, Zement und Gips a. n. g.</v>
      </c>
    </row>
    <row r="1183" spans="1:8" x14ac:dyDescent="0.25">
      <c r="A1183" t="s">
        <v>643</v>
      </c>
      <c r="B1183" t="s">
        <v>1248</v>
      </c>
      <c r="G1183" t="str">
        <f t="shared" si="14"/>
        <v>23.70.0</v>
      </c>
      <c r="H1183" t="str">
        <f t="shared" si="15"/>
        <v>23.70.0 - Be- und Verarbeitung von Naturwerksteinen und Natursteinen a. n. g.</v>
      </c>
    </row>
    <row r="1184" spans="1:8" x14ac:dyDescent="0.25">
      <c r="A1184" t="s">
        <v>644</v>
      </c>
      <c r="B1184" t="s">
        <v>1249</v>
      </c>
      <c r="G1184" t="str">
        <f t="shared" si="14"/>
        <v>23.91.0</v>
      </c>
      <c r="H1184" t="str">
        <f t="shared" si="15"/>
        <v>23.91.0 - Herstellung von Schleifkörpern und Schleifmitteln auf Unterlage</v>
      </c>
    </row>
    <row r="1185" spans="1:8" x14ac:dyDescent="0.25">
      <c r="A1185" t="s">
        <v>645</v>
      </c>
      <c r="B1185" t="s">
        <v>1250</v>
      </c>
      <c r="G1185" t="str">
        <f t="shared" si="14"/>
        <v>23.99.0</v>
      </c>
      <c r="H1185" t="str">
        <f t="shared" si="15"/>
        <v>23.99.0 - Herstellung von sonstigen Erzeugnissen aus nichtmetallischen Mineralien a. n. g.</v>
      </c>
    </row>
    <row r="1186" spans="1:8" x14ac:dyDescent="0.25">
      <c r="A1186" t="s">
        <v>646</v>
      </c>
      <c r="B1186" t="s">
        <v>1251</v>
      </c>
      <c r="G1186" t="str">
        <f t="shared" si="14"/>
        <v>24.10.0</v>
      </c>
      <c r="H1186" t="str">
        <f t="shared" si="15"/>
        <v>24.10.0 - Erzeugung von Roheisen, Stahl und Ferrolegierungen</v>
      </c>
    </row>
    <row r="1187" spans="1:8" x14ac:dyDescent="0.25">
      <c r="A1187" t="s">
        <v>647</v>
      </c>
      <c r="B1187" t="s">
        <v>1252</v>
      </c>
      <c r="G1187" t="str">
        <f t="shared" si="14"/>
        <v>24.20.1</v>
      </c>
      <c r="H1187" t="str">
        <f t="shared" si="15"/>
        <v>24.20.1 - Herstellung von Stahlrohren (ohne Präzisionsstahlrohre)</v>
      </c>
    </row>
    <row r="1188" spans="1:8" x14ac:dyDescent="0.25">
      <c r="A1188" t="s">
        <v>647</v>
      </c>
      <c r="B1188" t="s">
        <v>1253</v>
      </c>
      <c r="G1188" t="str">
        <f t="shared" si="14"/>
        <v>24.20.2</v>
      </c>
      <c r="H1188" t="str">
        <f t="shared" si="15"/>
        <v>24.20.2 - Herstellung von Präzisionsstahlrohren</v>
      </c>
    </row>
    <row r="1189" spans="1:8" x14ac:dyDescent="0.25">
      <c r="A1189" t="s">
        <v>647</v>
      </c>
      <c r="B1189" t="s">
        <v>1254</v>
      </c>
      <c r="G1189" t="str">
        <f t="shared" si="14"/>
        <v>24.20.3</v>
      </c>
      <c r="H1189" t="str">
        <f t="shared" si="15"/>
        <v>24.20.3 - Herstellung von Rohrform-, Rohrverschluss- und Rohrverbindungsstücken aus Stahl</v>
      </c>
    </row>
    <row r="1190" spans="1:8" x14ac:dyDescent="0.25">
      <c r="A1190" t="s">
        <v>648</v>
      </c>
      <c r="B1190" t="s">
        <v>1255</v>
      </c>
      <c r="G1190" t="str">
        <f t="shared" si="14"/>
        <v>24.31.0</v>
      </c>
      <c r="H1190" t="str">
        <f t="shared" si="15"/>
        <v>24.31.0 - Herstellung von Blankstahl</v>
      </c>
    </row>
    <row r="1191" spans="1:8" x14ac:dyDescent="0.25">
      <c r="A1191" t="s">
        <v>649</v>
      </c>
      <c r="B1191" t="s">
        <v>1256</v>
      </c>
      <c r="G1191" t="str">
        <f t="shared" ref="G1191:G1254" si="16">MID(B1191,1,7)</f>
        <v>24.32.0</v>
      </c>
      <c r="H1191" t="str">
        <f t="shared" si="15"/>
        <v>24.32.0 - Herstellung von Kaltband mit einer Breite von weniger als 600 mm</v>
      </c>
    </row>
    <row r="1192" spans="1:8" x14ac:dyDescent="0.25">
      <c r="A1192" t="s">
        <v>650</v>
      </c>
      <c r="B1192" t="s">
        <v>1257</v>
      </c>
      <c r="G1192" t="str">
        <f t="shared" si="16"/>
        <v>24.33.0</v>
      </c>
      <c r="H1192" t="str">
        <f t="shared" ref="H1192:H1255" si="17">B1192</f>
        <v>24.33.0 - Herstellung von Kaltprofilen</v>
      </c>
    </row>
    <row r="1193" spans="1:8" x14ac:dyDescent="0.25">
      <c r="A1193" t="s">
        <v>651</v>
      </c>
      <c r="B1193" t="s">
        <v>1258</v>
      </c>
      <c r="G1193" t="str">
        <f t="shared" si="16"/>
        <v>24.34.0</v>
      </c>
      <c r="H1193" t="str">
        <f t="shared" si="17"/>
        <v>24.34.0 - Herstellung von kaltgezogenem Draht</v>
      </c>
    </row>
    <row r="1194" spans="1:8" x14ac:dyDescent="0.25">
      <c r="A1194" t="s">
        <v>652</v>
      </c>
      <c r="B1194" t="s">
        <v>1259</v>
      </c>
      <c r="G1194" t="str">
        <f t="shared" si="16"/>
        <v>24.41.0</v>
      </c>
      <c r="H1194" t="str">
        <f t="shared" si="17"/>
        <v>24.41.0 - Erzeugung und erste Bearbeitung von Edelmetallen</v>
      </c>
    </row>
    <row r="1195" spans="1:8" x14ac:dyDescent="0.25">
      <c r="A1195" t="s">
        <v>653</v>
      </c>
      <c r="B1195" t="s">
        <v>1260</v>
      </c>
      <c r="G1195" t="str">
        <f t="shared" si="16"/>
        <v>24.42.0</v>
      </c>
      <c r="H1195" t="str">
        <f t="shared" si="17"/>
        <v>24.42.0 - Erzeugung und erste Bearbeitung von Aluminium</v>
      </c>
    </row>
    <row r="1196" spans="1:8" x14ac:dyDescent="0.25">
      <c r="A1196" t="s">
        <v>654</v>
      </c>
      <c r="B1196" t="s">
        <v>1261</v>
      </c>
      <c r="G1196" t="str">
        <f t="shared" si="16"/>
        <v>24.43.0</v>
      </c>
      <c r="H1196" t="str">
        <f t="shared" si="17"/>
        <v>24.43.0 - Erzeugung und erste Bearbeitung von Blei, Zink und Zinn</v>
      </c>
    </row>
    <row r="1197" spans="1:8" x14ac:dyDescent="0.25">
      <c r="A1197" t="s">
        <v>655</v>
      </c>
      <c r="B1197" t="s">
        <v>1262</v>
      </c>
      <c r="G1197" t="str">
        <f t="shared" si="16"/>
        <v>24.44.0</v>
      </c>
      <c r="H1197" t="str">
        <f t="shared" si="17"/>
        <v>24.44.0 - Erzeugung und erste Bearbeitung von Kupfer</v>
      </c>
    </row>
    <row r="1198" spans="1:8" x14ac:dyDescent="0.25">
      <c r="A1198" t="s">
        <v>656</v>
      </c>
      <c r="B1198" t="s">
        <v>1263</v>
      </c>
      <c r="G1198" t="str">
        <f t="shared" si="16"/>
        <v>24.45.0</v>
      </c>
      <c r="H1198" t="str">
        <f t="shared" si="17"/>
        <v>24.45.0 - Erzeugung und erste Bearbeitung von sonstigen NE-Metallen</v>
      </c>
    </row>
    <row r="1199" spans="1:8" x14ac:dyDescent="0.25">
      <c r="A1199" t="s">
        <v>657</v>
      </c>
      <c r="B1199" t="s">
        <v>1264</v>
      </c>
      <c r="G1199" t="str">
        <f t="shared" si="16"/>
        <v>24.46.0</v>
      </c>
      <c r="H1199" t="str">
        <f t="shared" si="17"/>
        <v>24.46.0 - Aufbereitung von Kernbrennstoffen</v>
      </c>
    </row>
    <row r="1200" spans="1:8" x14ac:dyDescent="0.25">
      <c r="A1200" t="s">
        <v>658</v>
      </c>
      <c r="B1200" t="s">
        <v>1265</v>
      </c>
      <c r="G1200" t="str">
        <f t="shared" si="16"/>
        <v>24.51.0</v>
      </c>
      <c r="H1200" t="str">
        <f t="shared" si="17"/>
        <v>24.51.0 - Eisengießereien</v>
      </c>
    </row>
    <row r="1201" spans="1:8" x14ac:dyDescent="0.25">
      <c r="A1201" t="s">
        <v>659</v>
      </c>
      <c r="B1201" t="s">
        <v>1266</v>
      </c>
      <c r="G1201" t="str">
        <f t="shared" si="16"/>
        <v>24.52.0</v>
      </c>
      <c r="H1201" t="str">
        <f t="shared" si="17"/>
        <v>24.52.0 - Stahlgießereien</v>
      </c>
    </row>
    <row r="1202" spans="1:8" x14ac:dyDescent="0.25">
      <c r="A1202" t="s">
        <v>660</v>
      </c>
      <c r="B1202" t="s">
        <v>1267</v>
      </c>
      <c r="G1202" t="str">
        <f t="shared" si="16"/>
        <v>24.53.0</v>
      </c>
      <c r="H1202" t="str">
        <f t="shared" si="17"/>
        <v>24.53.0 - Leichtmetallgießereien</v>
      </c>
    </row>
    <row r="1203" spans="1:8" x14ac:dyDescent="0.25">
      <c r="A1203" t="s">
        <v>661</v>
      </c>
      <c r="B1203" t="s">
        <v>1268</v>
      </c>
      <c r="G1203" t="str">
        <f t="shared" si="16"/>
        <v>24.54.0</v>
      </c>
      <c r="H1203" t="str">
        <f t="shared" si="17"/>
        <v>24.54.0 - Buntmetallgießereien</v>
      </c>
    </row>
    <row r="1204" spans="1:8" x14ac:dyDescent="0.25">
      <c r="A1204" t="s">
        <v>662</v>
      </c>
      <c r="B1204" t="s">
        <v>1269</v>
      </c>
      <c r="G1204" t="str">
        <f t="shared" si="16"/>
        <v>25.11.0</v>
      </c>
      <c r="H1204" t="str">
        <f t="shared" si="17"/>
        <v>25.11.0 - Herstellung von Metallkonstruktionen</v>
      </c>
    </row>
    <row r="1205" spans="1:8" x14ac:dyDescent="0.25">
      <c r="A1205" t="s">
        <v>663</v>
      </c>
      <c r="B1205" t="s">
        <v>1270</v>
      </c>
      <c r="G1205" t="str">
        <f t="shared" si="16"/>
        <v>25.12.0</v>
      </c>
      <c r="H1205" t="str">
        <f t="shared" si="17"/>
        <v>25.12.0 - Herstellung von Ausbauelementen aus Metall</v>
      </c>
    </row>
    <row r="1206" spans="1:8" x14ac:dyDescent="0.25">
      <c r="A1206" t="s">
        <v>664</v>
      </c>
      <c r="B1206" t="s">
        <v>1271</v>
      </c>
      <c r="G1206" t="str">
        <f t="shared" si="16"/>
        <v>25.21.0</v>
      </c>
      <c r="H1206" t="str">
        <f t="shared" si="17"/>
        <v>25.21.0 - Herstellung von Heizkörpern und -kesseln für Zentralheizungen</v>
      </c>
    </row>
    <row r="1207" spans="1:8" x14ac:dyDescent="0.25">
      <c r="A1207" t="s">
        <v>665</v>
      </c>
      <c r="B1207" t="s">
        <v>1272</v>
      </c>
      <c r="G1207" t="str">
        <f t="shared" si="16"/>
        <v>25.29.0</v>
      </c>
      <c r="H1207" t="str">
        <f t="shared" si="17"/>
        <v>25.29.0 - Herstellung von Sammelbehältern, Tanks u. ä. Behältern aus Metall</v>
      </c>
    </row>
    <row r="1208" spans="1:8" x14ac:dyDescent="0.25">
      <c r="A1208" t="s">
        <v>666</v>
      </c>
      <c r="B1208" t="s">
        <v>1273</v>
      </c>
      <c r="G1208" t="str">
        <f t="shared" si="16"/>
        <v>25.30.0</v>
      </c>
      <c r="H1208" t="str">
        <f t="shared" si="17"/>
        <v>25.30.0 - Herstellung von Dampfkesseln (ohne Zentralheizungskessel)</v>
      </c>
    </row>
    <row r="1209" spans="1:8" x14ac:dyDescent="0.25">
      <c r="A1209" t="s">
        <v>667</v>
      </c>
      <c r="B1209" t="s">
        <v>1274</v>
      </c>
      <c r="G1209" t="str">
        <f t="shared" si="16"/>
        <v>25.40.0</v>
      </c>
      <c r="H1209" t="str">
        <f t="shared" si="17"/>
        <v>25.40.0 - Herstellung von Waffen und Munition</v>
      </c>
    </row>
    <row r="1210" spans="1:8" x14ac:dyDescent="0.25">
      <c r="A1210" t="s">
        <v>668</v>
      </c>
      <c r="B1210" t="s">
        <v>1275</v>
      </c>
      <c r="G1210" t="str">
        <f t="shared" si="16"/>
        <v>25.50.1</v>
      </c>
      <c r="H1210" t="str">
        <f t="shared" si="17"/>
        <v>25.50.1 - Herstellung von Freiformschmiedestücken</v>
      </c>
    </row>
    <row r="1211" spans="1:8" x14ac:dyDescent="0.25">
      <c r="A1211" t="s">
        <v>668</v>
      </c>
      <c r="B1211" t="s">
        <v>1276</v>
      </c>
      <c r="G1211" t="str">
        <f t="shared" si="16"/>
        <v>25.50.2</v>
      </c>
      <c r="H1211" t="str">
        <f t="shared" si="17"/>
        <v>25.50.2 - Herstellung von Gesenkschmiedeteilen</v>
      </c>
    </row>
    <row r="1212" spans="1:8" x14ac:dyDescent="0.25">
      <c r="A1212" t="s">
        <v>668</v>
      </c>
      <c r="B1212" t="s">
        <v>1277</v>
      </c>
      <c r="G1212" t="str">
        <f t="shared" si="16"/>
        <v>25.50.3</v>
      </c>
      <c r="H1212" t="str">
        <f t="shared" si="17"/>
        <v>25.50.3 - Herstellung von Kaltfließpressteilen</v>
      </c>
    </row>
    <row r="1213" spans="1:8" x14ac:dyDescent="0.25">
      <c r="A1213" t="s">
        <v>668</v>
      </c>
      <c r="B1213" t="s">
        <v>1278</v>
      </c>
      <c r="G1213" t="str">
        <f t="shared" si="16"/>
        <v>25.50.4</v>
      </c>
      <c r="H1213" t="str">
        <f t="shared" si="17"/>
        <v>25.50.4 - Herstellung von Press-, Zieh- und Stanzteilen</v>
      </c>
    </row>
    <row r="1214" spans="1:8" x14ac:dyDescent="0.25">
      <c r="A1214" t="s">
        <v>668</v>
      </c>
      <c r="B1214" t="s">
        <v>1279</v>
      </c>
      <c r="G1214" t="str">
        <f t="shared" si="16"/>
        <v>25.50.5</v>
      </c>
      <c r="H1214" t="str">
        <f t="shared" si="17"/>
        <v>25.50.5 - Herstellung von pulvermetallurgischen Erzeugnissen</v>
      </c>
    </row>
    <row r="1215" spans="1:8" x14ac:dyDescent="0.25">
      <c r="A1215" t="s">
        <v>669</v>
      </c>
      <c r="B1215" t="s">
        <v>1280</v>
      </c>
      <c r="G1215" t="str">
        <f t="shared" si="16"/>
        <v>25.61.0</v>
      </c>
      <c r="H1215" t="str">
        <f t="shared" si="17"/>
        <v>25.61.0 - Oberflächenveredlung und Wärmebehandlung</v>
      </c>
    </row>
    <row r="1216" spans="1:8" x14ac:dyDescent="0.25">
      <c r="A1216" t="s">
        <v>670</v>
      </c>
      <c r="B1216" t="s">
        <v>1281</v>
      </c>
      <c r="G1216" t="str">
        <f t="shared" si="16"/>
        <v>25.62.0</v>
      </c>
      <c r="H1216" t="str">
        <f t="shared" si="17"/>
        <v>25.62.0 - Mechanik a. n. g.</v>
      </c>
    </row>
    <row r="1217" spans="1:8" x14ac:dyDescent="0.25">
      <c r="A1217" t="s">
        <v>671</v>
      </c>
      <c r="B1217" t="s">
        <v>1282</v>
      </c>
      <c r="G1217" t="str">
        <f t="shared" si="16"/>
        <v>25.71.0</v>
      </c>
      <c r="H1217" t="str">
        <f t="shared" si="17"/>
        <v>25.71.0 - Herstellung von Schneidwaren und Bestecken aus unedlen Metallen</v>
      </c>
    </row>
    <row r="1218" spans="1:8" x14ac:dyDescent="0.25">
      <c r="A1218" t="s">
        <v>672</v>
      </c>
      <c r="B1218" t="s">
        <v>1283</v>
      </c>
      <c r="G1218" t="str">
        <f t="shared" si="16"/>
        <v>25.72.0</v>
      </c>
      <c r="H1218" t="str">
        <f t="shared" si="17"/>
        <v>25.72.0 - Herstellung von Schlössern und Beschlägen aus unedlen Metallen</v>
      </c>
    </row>
    <row r="1219" spans="1:8" x14ac:dyDescent="0.25">
      <c r="A1219" t="s">
        <v>673</v>
      </c>
      <c r="B1219" t="s">
        <v>1284</v>
      </c>
      <c r="G1219" t="str">
        <f t="shared" si="16"/>
        <v>25.73.1</v>
      </c>
      <c r="H1219" t="str">
        <f t="shared" si="17"/>
        <v>25.73.1 - Herstellung von Handwerkzeugen</v>
      </c>
    </row>
    <row r="1220" spans="1:8" x14ac:dyDescent="0.25">
      <c r="A1220" t="s">
        <v>673</v>
      </c>
      <c r="B1220" t="s">
        <v>1285</v>
      </c>
      <c r="G1220" t="str">
        <f t="shared" si="16"/>
        <v>25.73.2</v>
      </c>
      <c r="H1220" t="str">
        <f t="shared" si="17"/>
        <v>25.73.2 - Herstellung von Sägen und von Maschinenwerkzeugen für die Holzbearbeitung</v>
      </c>
    </row>
    <row r="1221" spans="1:8" x14ac:dyDescent="0.25">
      <c r="A1221" t="s">
        <v>673</v>
      </c>
      <c r="B1221" t="s">
        <v>1286</v>
      </c>
      <c r="G1221" t="str">
        <f t="shared" si="16"/>
        <v>25.73.3</v>
      </c>
      <c r="H1221" t="str">
        <f t="shared" si="17"/>
        <v>25.73.3 - Herstellung von auswechselbaren Werkzeugen für die Metallbearbeitung a. n. g.</v>
      </c>
    </row>
    <row r="1222" spans="1:8" x14ac:dyDescent="0.25">
      <c r="A1222" t="s">
        <v>673</v>
      </c>
      <c r="B1222" t="s">
        <v>1287</v>
      </c>
      <c r="G1222" t="str">
        <f t="shared" si="16"/>
        <v>25.73.4</v>
      </c>
      <c r="H1222" t="str">
        <f t="shared" si="17"/>
        <v>25.73.4 - Herstellung von Geräten für die Landwirtschaft</v>
      </c>
    </row>
    <row r="1223" spans="1:8" x14ac:dyDescent="0.25">
      <c r="A1223" t="s">
        <v>673</v>
      </c>
      <c r="B1223" t="s">
        <v>1288</v>
      </c>
      <c r="G1223" t="str">
        <f t="shared" si="16"/>
        <v>25.73.5</v>
      </c>
      <c r="H1223" t="str">
        <f t="shared" si="17"/>
        <v>25.73.5 - Herstellung von sonstigen Werkzeugen</v>
      </c>
    </row>
    <row r="1224" spans="1:8" x14ac:dyDescent="0.25">
      <c r="A1224" t="s">
        <v>674</v>
      </c>
      <c r="B1224" t="s">
        <v>1289</v>
      </c>
      <c r="G1224" t="str">
        <f t="shared" si="16"/>
        <v>25.91.0</v>
      </c>
      <c r="H1224" t="str">
        <f t="shared" si="17"/>
        <v>25.91.0 - Herstellung von Fässern, Trommeln, Dosen, Eimern u. ä. Behältern aus Metall</v>
      </c>
    </row>
    <row r="1225" spans="1:8" x14ac:dyDescent="0.25">
      <c r="A1225" t="s">
        <v>675</v>
      </c>
      <c r="B1225" t="s">
        <v>1290</v>
      </c>
      <c r="G1225" t="str">
        <f t="shared" si="16"/>
        <v>25.92.0</v>
      </c>
      <c r="H1225" t="str">
        <f t="shared" si="17"/>
        <v>25.92.0 - Herstellung von Verpackungen und Verschlüssen aus Eisen, Stahl und NE-Metall</v>
      </c>
    </row>
    <row r="1226" spans="1:8" x14ac:dyDescent="0.25">
      <c r="A1226" t="s">
        <v>676</v>
      </c>
      <c r="B1226" t="s">
        <v>1291</v>
      </c>
      <c r="G1226" t="str">
        <f t="shared" si="16"/>
        <v>25.93.0</v>
      </c>
      <c r="H1226" t="str">
        <f t="shared" si="17"/>
        <v>25.93.0 - Herstellung von Drahtwaren, Ketten und Federn</v>
      </c>
    </row>
    <row r="1227" spans="1:8" x14ac:dyDescent="0.25">
      <c r="A1227" t="s">
        <v>677</v>
      </c>
      <c r="B1227" t="s">
        <v>1292</v>
      </c>
      <c r="G1227" t="str">
        <f t="shared" si="16"/>
        <v>25.94.0</v>
      </c>
      <c r="H1227" t="str">
        <f t="shared" si="17"/>
        <v>25.94.0 - Herstellung von Schrauben und Nieten</v>
      </c>
    </row>
    <row r="1228" spans="1:8" x14ac:dyDescent="0.25">
      <c r="A1228" t="s">
        <v>678</v>
      </c>
      <c r="B1228" t="s">
        <v>1293</v>
      </c>
      <c r="G1228" t="str">
        <f t="shared" si="16"/>
        <v>25.99.1</v>
      </c>
      <c r="H1228" t="str">
        <f t="shared" si="17"/>
        <v>25.99.1 - Herstellung von nicht elektrischen Haushaltsartikeln aus Metall</v>
      </c>
    </row>
    <row r="1229" spans="1:8" x14ac:dyDescent="0.25">
      <c r="A1229" t="s">
        <v>678</v>
      </c>
      <c r="B1229" t="s">
        <v>1294</v>
      </c>
      <c r="G1229" t="str">
        <f t="shared" si="16"/>
        <v>25.99.2</v>
      </c>
      <c r="H1229" t="str">
        <f t="shared" si="17"/>
        <v>25.99.2 - Herstellung von Panzerschränken und Tresoranlagen</v>
      </c>
    </row>
    <row r="1230" spans="1:8" x14ac:dyDescent="0.25">
      <c r="A1230" t="s">
        <v>678</v>
      </c>
      <c r="B1230" t="s">
        <v>1295</v>
      </c>
      <c r="G1230" t="str">
        <f t="shared" si="16"/>
        <v>25.99.3</v>
      </c>
      <c r="H1230" t="str">
        <f t="shared" si="17"/>
        <v>25.99.3 - Herstellung von Metallwaren a. n. g.</v>
      </c>
    </row>
    <row r="1231" spans="1:8" x14ac:dyDescent="0.25">
      <c r="A1231" t="s">
        <v>679</v>
      </c>
      <c r="B1231" t="s">
        <v>1296</v>
      </c>
      <c r="G1231" t="str">
        <f t="shared" si="16"/>
        <v>26.11.1</v>
      </c>
      <c r="H1231" t="str">
        <f t="shared" si="17"/>
        <v>26.11.1 - Herstellung von Solarzellen und Solarmodulen</v>
      </c>
    </row>
    <row r="1232" spans="1:8" x14ac:dyDescent="0.25">
      <c r="A1232" t="s">
        <v>679</v>
      </c>
      <c r="B1232" t="s">
        <v>1297</v>
      </c>
      <c r="G1232" t="str">
        <f t="shared" si="16"/>
        <v>26.11.9</v>
      </c>
      <c r="H1232" t="str">
        <f t="shared" si="17"/>
        <v>26.11.9 - Herstellung von sonstigen elektronischen Bauelementen</v>
      </c>
    </row>
    <row r="1233" spans="1:8" x14ac:dyDescent="0.25">
      <c r="A1233" t="s">
        <v>680</v>
      </c>
      <c r="B1233" t="s">
        <v>1298</v>
      </c>
      <c r="G1233" t="str">
        <f t="shared" si="16"/>
        <v>26.12.0</v>
      </c>
      <c r="H1233" t="str">
        <f t="shared" si="17"/>
        <v>26.12.0 - Herstellung von bestückten Leiterplatten</v>
      </c>
    </row>
    <row r="1234" spans="1:8" x14ac:dyDescent="0.25">
      <c r="A1234" t="s">
        <v>681</v>
      </c>
      <c r="B1234" t="s">
        <v>1299</v>
      </c>
      <c r="G1234" t="str">
        <f t="shared" si="16"/>
        <v>26.20.0</v>
      </c>
      <c r="H1234" t="str">
        <f t="shared" si="17"/>
        <v>26.20.0 - Herstellung von Datenverarbeitungsgeräten und peripheren Geräten</v>
      </c>
    </row>
    <row r="1235" spans="1:8" x14ac:dyDescent="0.25">
      <c r="A1235" t="s">
        <v>682</v>
      </c>
      <c r="B1235" t="s">
        <v>1300</v>
      </c>
      <c r="G1235" t="str">
        <f t="shared" si="16"/>
        <v>26.30.0</v>
      </c>
      <c r="H1235" t="str">
        <f t="shared" si="17"/>
        <v>26.30.0 - Herstellung von Geräten und Einrichtungen der Telekommunikationstechnik</v>
      </c>
    </row>
    <row r="1236" spans="1:8" x14ac:dyDescent="0.25">
      <c r="A1236" t="s">
        <v>683</v>
      </c>
      <c r="B1236" t="s">
        <v>1301</v>
      </c>
      <c r="G1236" t="str">
        <f t="shared" si="16"/>
        <v>26.40.0</v>
      </c>
      <c r="H1236" t="str">
        <f t="shared" si="17"/>
        <v>26.40.0 - Herstellung von Geräten der Unterhaltungselektronik</v>
      </c>
    </row>
    <row r="1237" spans="1:8" x14ac:dyDescent="0.25">
      <c r="A1237" t="s">
        <v>684</v>
      </c>
      <c r="B1237" t="s">
        <v>1302</v>
      </c>
      <c r="G1237" t="str">
        <f t="shared" si="16"/>
        <v>26.51.1</v>
      </c>
      <c r="H1237" t="str">
        <f t="shared" si="17"/>
        <v>26.51.1 - Herstellung von elektrischen Mess-, Kontroll-, Navigations- u. ä. Instrumenten und Vorrichtungen</v>
      </c>
    </row>
    <row r="1238" spans="1:8" x14ac:dyDescent="0.25">
      <c r="A1238" t="s">
        <v>684</v>
      </c>
      <c r="B1238" t="s">
        <v>1303</v>
      </c>
      <c r="G1238" t="str">
        <f t="shared" si="16"/>
        <v>26.51.2</v>
      </c>
      <c r="H1238" t="str">
        <f t="shared" si="17"/>
        <v>26.51.2 - Herstellung von nicht elektrischen Mess-, Kontroll-, Navigations- u. ä. Instrumenten und Vorrichtungen</v>
      </c>
    </row>
    <row r="1239" spans="1:8" x14ac:dyDescent="0.25">
      <c r="A1239" t="s">
        <v>684</v>
      </c>
      <c r="B1239" t="s">
        <v>1304</v>
      </c>
      <c r="G1239" t="str">
        <f t="shared" si="16"/>
        <v>26.51.3</v>
      </c>
      <c r="H1239" t="str">
        <f t="shared" si="17"/>
        <v>26.51.3 - Herstellung von Prüfmaschinen</v>
      </c>
    </row>
    <row r="1240" spans="1:8" x14ac:dyDescent="0.25">
      <c r="A1240" t="s">
        <v>685</v>
      </c>
      <c r="B1240" t="s">
        <v>1305</v>
      </c>
      <c r="G1240" t="str">
        <f t="shared" si="16"/>
        <v>26.52.0</v>
      </c>
      <c r="H1240" t="str">
        <f t="shared" si="17"/>
        <v>26.52.0 - Herstellung von Uhren</v>
      </c>
    </row>
    <row r="1241" spans="1:8" x14ac:dyDescent="0.25">
      <c r="A1241" t="s">
        <v>686</v>
      </c>
      <c r="B1241" t="s">
        <v>1306</v>
      </c>
      <c r="G1241" t="str">
        <f t="shared" si="16"/>
        <v>26.60.0</v>
      </c>
      <c r="H1241" t="str">
        <f t="shared" si="17"/>
        <v>26.60.0 - Herstellung von Bestrahlungs- und Elektrotherapiegeräten und elektromedizinischen Geräten</v>
      </c>
    </row>
    <row r="1242" spans="1:8" x14ac:dyDescent="0.25">
      <c r="A1242" t="s">
        <v>687</v>
      </c>
      <c r="B1242" t="s">
        <v>1307</v>
      </c>
      <c r="G1242" t="str">
        <f t="shared" si="16"/>
        <v>26.70.0</v>
      </c>
      <c r="H1242" t="str">
        <f t="shared" si="17"/>
        <v>26.70.0 - Herstellung von optischen und fotografischen Instrumenten und Geräten</v>
      </c>
    </row>
    <row r="1243" spans="1:8" x14ac:dyDescent="0.25">
      <c r="A1243" t="s">
        <v>688</v>
      </c>
      <c r="B1243" t="s">
        <v>1308</v>
      </c>
      <c r="G1243" t="str">
        <f t="shared" si="16"/>
        <v>26.80.0</v>
      </c>
      <c r="H1243" t="str">
        <f t="shared" si="17"/>
        <v>26.80.0 - Herstellung von magnetischen und optischen Datenträgern</v>
      </c>
    </row>
    <row r="1244" spans="1:8" x14ac:dyDescent="0.25">
      <c r="A1244" t="s">
        <v>689</v>
      </c>
      <c r="B1244" t="s">
        <v>1309</v>
      </c>
      <c r="G1244" t="str">
        <f t="shared" si="16"/>
        <v>27.11.0</v>
      </c>
      <c r="H1244" t="str">
        <f t="shared" si="17"/>
        <v>27.11.0 - Herstellung von Elektromotoren, Generatoren und Transformatoren</v>
      </c>
    </row>
    <row r="1245" spans="1:8" x14ac:dyDescent="0.25">
      <c r="A1245" t="s">
        <v>690</v>
      </c>
      <c r="B1245" t="s">
        <v>1310</v>
      </c>
      <c r="G1245" t="str">
        <f t="shared" si="16"/>
        <v>27.12.0</v>
      </c>
      <c r="H1245" t="str">
        <f t="shared" si="17"/>
        <v>27.12.0 - Herstellung von Elektrizitätsverteilungs- und -schalteinrichtungen</v>
      </c>
    </row>
    <row r="1246" spans="1:8" x14ac:dyDescent="0.25">
      <c r="A1246" t="s">
        <v>691</v>
      </c>
      <c r="B1246" t="s">
        <v>1311</v>
      </c>
      <c r="G1246" t="str">
        <f t="shared" si="16"/>
        <v>27.20.0</v>
      </c>
      <c r="H1246" t="str">
        <f t="shared" si="17"/>
        <v>27.20.0 - Herstellung von Batterien und Akkumulatoren</v>
      </c>
    </row>
    <row r="1247" spans="1:8" x14ac:dyDescent="0.25">
      <c r="A1247" t="s">
        <v>692</v>
      </c>
      <c r="B1247" t="s">
        <v>1312</v>
      </c>
      <c r="G1247" t="str">
        <f t="shared" si="16"/>
        <v>27.31.0</v>
      </c>
      <c r="H1247" t="str">
        <f t="shared" si="17"/>
        <v>27.31.0 - Herstellung von Glasfaserkabeln</v>
      </c>
    </row>
    <row r="1248" spans="1:8" x14ac:dyDescent="0.25">
      <c r="A1248" t="s">
        <v>693</v>
      </c>
      <c r="B1248" t="s">
        <v>1313</v>
      </c>
      <c r="G1248" t="str">
        <f t="shared" si="16"/>
        <v>27.32.0</v>
      </c>
      <c r="H1248" t="str">
        <f t="shared" si="17"/>
        <v>27.32.0 - Herstellung von sonstigen elektronischen und elektrischen Drähten und Kabeln</v>
      </c>
    </row>
    <row r="1249" spans="1:8" x14ac:dyDescent="0.25">
      <c r="A1249" t="s">
        <v>694</v>
      </c>
      <c r="B1249" t="s">
        <v>1314</v>
      </c>
      <c r="G1249" t="str">
        <f t="shared" si="16"/>
        <v>27.33.0</v>
      </c>
      <c r="H1249" t="str">
        <f t="shared" si="17"/>
        <v>27.33.0 - Herstellung von elektrischem Installationsmaterial</v>
      </c>
    </row>
    <row r="1250" spans="1:8" x14ac:dyDescent="0.25">
      <c r="A1250" t="s">
        <v>695</v>
      </c>
      <c r="B1250" t="s">
        <v>1315</v>
      </c>
      <c r="G1250" t="str">
        <f t="shared" si="16"/>
        <v>27.40.0</v>
      </c>
      <c r="H1250" t="str">
        <f t="shared" si="17"/>
        <v>27.40.0 - Herstellung von elektrischen Lampen und Leuchten</v>
      </c>
    </row>
    <row r="1251" spans="1:8" x14ac:dyDescent="0.25">
      <c r="A1251" t="s">
        <v>696</v>
      </c>
      <c r="B1251" t="s">
        <v>1316</v>
      </c>
      <c r="G1251" t="str">
        <f t="shared" si="16"/>
        <v>27.51.0</v>
      </c>
      <c r="H1251" t="str">
        <f t="shared" si="17"/>
        <v>27.51.0 - Herstellung von elektrischen Haushaltsgeräten</v>
      </c>
    </row>
    <row r="1252" spans="1:8" x14ac:dyDescent="0.25">
      <c r="A1252" t="s">
        <v>697</v>
      </c>
      <c r="B1252" t="s">
        <v>1317</v>
      </c>
      <c r="G1252" t="str">
        <f t="shared" si="16"/>
        <v>27.52.0</v>
      </c>
      <c r="H1252" t="str">
        <f t="shared" si="17"/>
        <v>27.52.0 - Herstellung von nichtelektrischen Haushaltsgeräten</v>
      </c>
    </row>
    <row r="1253" spans="1:8" x14ac:dyDescent="0.25">
      <c r="A1253" t="s">
        <v>698</v>
      </c>
      <c r="B1253" t="s">
        <v>1318</v>
      </c>
      <c r="G1253" t="str">
        <f t="shared" si="16"/>
        <v>27.90.0</v>
      </c>
      <c r="H1253" t="str">
        <f t="shared" si="17"/>
        <v>27.90.0 - Herstellung von sonstigen elektrischen Ausrüstungen und Geräten a. n. g.</v>
      </c>
    </row>
    <row r="1254" spans="1:8" x14ac:dyDescent="0.25">
      <c r="A1254" t="s">
        <v>699</v>
      </c>
      <c r="B1254" t="s">
        <v>1319</v>
      </c>
      <c r="G1254" t="str">
        <f t="shared" si="16"/>
        <v>28.11.0</v>
      </c>
      <c r="H1254" t="str">
        <f t="shared" si="17"/>
        <v>28.11.0 - Herstellung von Verbrennungsmotoren und Turbinen (ohne Motoren für Luft- und Straßenfahrzeuge)</v>
      </c>
    </row>
    <row r="1255" spans="1:8" x14ac:dyDescent="0.25">
      <c r="A1255" t="s">
        <v>700</v>
      </c>
      <c r="B1255" t="s">
        <v>1320</v>
      </c>
      <c r="G1255" t="str">
        <f t="shared" ref="G1255:G1318" si="18">MID(B1255,1,7)</f>
        <v>28.12.0</v>
      </c>
      <c r="H1255" t="str">
        <f t="shared" si="17"/>
        <v>28.12.0 - Herstellung von hydraulischen und pneumatischen Komponenten und Systemen</v>
      </c>
    </row>
    <row r="1256" spans="1:8" x14ac:dyDescent="0.25">
      <c r="A1256" t="s">
        <v>701</v>
      </c>
      <c r="B1256" t="s">
        <v>1321</v>
      </c>
      <c r="G1256" t="str">
        <f t="shared" si="18"/>
        <v>28.13.0</v>
      </c>
      <c r="H1256" t="str">
        <f t="shared" ref="H1256:H1319" si="19">B1256</f>
        <v>28.13.0 - Herstellung von Pumpen und Kompressoren a. n. g.</v>
      </c>
    </row>
    <row r="1257" spans="1:8" x14ac:dyDescent="0.25">
      <c r="A1257" t="s">
        <v>702</v>
      </c>
      <c r="B1257" t="s">
        <v>1322</v>
      </c>
      <c r="G1257" t="str">
        <f t="shared" si="18"/>
        <v>28.14.0</v>
      </c>
      <c r="H1257" t="str">
        <f t="shared" si="19"/>
        <v>28.14.0 - Herstellung von Armaturen a. n. g.</v>
      </c>
    </row>
    <row r="1258" spans="1:8" x14ac:dyDescent="0.25">
      <c r="A1258" t="s">
        <v>703</v>
      </c>
      <c r="B1258" t="s">
        <v>1323</v>
      </c>
      <c r="G1258" t="str">
        <f t="shared" si="18"/>
        <v>28.15.0</v>
      </c>
      <c r="H1258" t="str">
        <f t="shared" si="19"/>
        <v>28.15.0 - Herstellung von Lagern, Getrieben, Zahnrädern und Antriebselementen</v>
      </c>
    </row>
    <row r="1259" spans="1:8" x14ac:dyDescent="0.25">
      <c r="A1259" t="s">
        <v>704</v>
      </c>
      <c r="B1259" t="s">
        <v>1324</v>
      </c>
      <c r="G1259" t="str">
        <f t="shared" si="18"/>
        <v>28.21.1</v>
      </c>
      <c r="H1259" t="str">
        <f t="shared" si="19"/>
        <v>28.21.1 - Herstellung von Solarwärmekollektoren</v>
      </c>
    </row>
    <row r="1260" spans="1:8" x14ac:dyDescent="0.25">
      <c r="A1260" t="s">
        <v>704</v>
      </c>
      <c r="B1260" t="s">
        <v>1325</v>
      </c>
      <c r="G1260" t="str">
        <f t="shared" si="18"/>
        <v>28.21.9</v>
      </c>
      <c r="H1260" t="str">
        <f t="shared" si="19"/>
        <v>28.21.9 - Herstellung von sonstigen Öfen und Brennern</v>
      </c>
    </row>
    <row r="1261" spans="1:8" x14ac:dyDescent="0.25">
      <c r="A1261" t="s">
        <v>705</v>
      </c>
      <c r="B1261" t="s">
        <v>1326</v>
      </c>
      <c r="G1261" t="str">
        <f t="shared" si="18"/>
        <v>28.22.0</v>
      </c>
      <c r="H1261" t="str">
        <f t="shared" si="19"/>
        <v>28.22.0 - Herstellung von Hebezeugen und Fördermitteln</v>
      </c>
    </row>
    <row r="1262" spans="1:8" x14ac:dyDescent="0.25">
      <c r="A1262" t="s">
        <v>706</v>
      </c>
      <c r="B1262" t="s">
        <v>1327</v>
      </c>
      <c r="G1262" t="str">
        <f t="shared" si="18"/>
        <v>28.23.0</v>
      </c>
      <c r="H1262" t="str">
        <f t="shared" si="19"/>
        <v>28.23.0 - Herstellung von Büromaschinen (ohne Datenverarbeitungsgeräte und periphere Geräte)</v>
      </c>
    </row>
    <row r="1263" spans="1:8" x14ac:dyDescent="0.25">
      <c r="A1263" t="s">
        <v>707</v>
      </c>
      <c r="B1263" t="s">
        <v>1328</v>
      </c>
      <c r="G1263" t="str">
        <f t="shared" si="18"/>
        <v>28.24.0</v>
      </c>
      <c r="H1263" t="str">
        <f t="shared" si="19"/>
        <v>28.24.0 - Herstellung von handgeführten Werkzeugen mit Motorantrieb</v>
      </c>
    </row>
    <row r="1264" spans="1:8" x14ac:dyDescent="0.25">
      <c r="A1264" t="s">
        <v>708</v>
      </c>
      <c r="B1264" t="s">
        <v>1329</v>
      </c>
      <c r="G1264" t="str">
        <f t="shared" si="18"/>
        <v>28.25.0</v>
      </c>
      <c r="H1264" t="str">
        <f t="shared" si="19"/>
        <v>28.25.0 - Herstellung von kälte- und lufttechnischen Erzeugnissen, nicht für den Haushalt</v>
      </c>
    </row>
    <row r="1265" spans="1:8" x14ac:dyDescent="0.25">
      <c r="A1265" t="s">
        <v>709</v>
      </c>
      <c r="B1265" t="s">
        <v>1330</v>
      </c>
      <c r="G1265" t="str">
        <f t="shared" si="18"/>
        <v>28.29.0</v>
      </c>
      <c r="H1265" t="str">
        <f t="shared" si="19"/>
        <v>28.29.0 - Herstellung von sonstigen nicht wirtschaftszweigspezifischen Maschinen a. n. g.</v>
      </c>
    </row>
    <row r="1266" spans="1:8" x14ac:dyDescent="0.25">
      <c r="A1266" t="s">
        <v>710</v>
      </c>
      <c r="B1266" t="s">
        <v>1331</v>
      </c>
      <c r="G1266" t="str">
        <f t="shared" si="18"/>
        <v>28.30.0</v>
      </c>
      <c r="H1266" t="str">
        <f t="shared" si="19"/>
        <v>28.30.0 - Herstellung von land- und forstwirtschaftlichen Maschinen</v>
      </c>
    </row>
    <row r="1267" spans="1:8" x14ac:dyDescent="0.25">
      <c r="A1267" t="s">
        <v>711</v>
      </c>
      <c r="B1267" t="s">
        <v>1332</v>
      </c>
      <c r="G1267" t="str">
        <f t="shared" si="18"/>
        <v>28.41.0</v>
      </c>
      <c r="H1267" t="str">
        <f t="shared" si="19"/>
        <v>28.41.0 - Herstellung von Werkzeugmaschinen für die Metallbearbeitung</v>
      </c>
    </row>
    <row r="1268" spans="1:8" x14ac:dyDescent="0.25">
      <c r="A1268" t="s">
        <v>712</v>
      </c>
      <c r="B1268" t="s">
        <v>1333</v>
      </c>
      <c r="G1268" t="str">
        <f t="shared" si="18"/>
        <v>28.49.1</v>
      </c>
      <c r="H1268" t="str">
        <f t="shared" si="19"/>
        <v>28.49.1 - Herstellung von Werkzeugmaschinen zur Bearbeitung von Steinen, Beton und sonstigen mineralischen Stoffen</v>
      </c>
    </row>
    <row r="1269" spans="1:8" x14ac:dyDescent="0.25">
      <c r="A1269" t="s">
        <v>712</v>
      </c>
      <c r="B1269" t="s">
        <v>1334</v>
      </c>
      <c r="G1269" t="str">
        <f t="shared" si="18"/>
        <v>28.49.2</v>
      </c>
      <c r="H1269" t="str">
        <f t="shared" si="19"/>
        <v>28.49.2 - Herstellung von Werkzeugmaschinen zur Bearbeitung von sonstigen harten Stoffen</v>
      </c>
    </row>
    <row r="1270" spans="1:8" x14ac:dyDescent="0.25">
      <c r="A1270" t="s">
        <v>712</v>
      </c>
      <c r="B1270" t="s">
        <v>1335</v>
      </c>
      <c r="G1270" t="str">
        <f t="shared" si="18"/>
        <v>28.49.3</v>
      </c>
      <c r="H1270" t="str">
        <f t="shared" si="19"/>
        <v>28.49.3 - Herstellung von Maschinenspannzeugen und sonstigem Zubehör für Werkzeugmaschinen</v>
      </c>
    </row>
    <row r="1271" spans="1:8" x14ac:dyDescent="0.25">
      <c r="A1271" t="s">
        <v>712</v>
      </c>
      <c r="B1271" t="s">
        <v>1336</v>
      </c>
      <c r="G1271" t="str">
        <f t="shared" si="18"/>
        <v>28.49.9</v>
      </c>
      <c r="H1271" t="str">
        <f t="shared" si="19"/>
        <v>28.49.9 - Herstellung von sonstigen Werkzeugmaschinen a. n. g.</v>
      </c>
    </row>
    <row r="1272" spans="1:8" x14ac:dyDescent="0.25">
      <c r="A1272" t="s">
        <v>713</v>
      </c>
      <c r="B1272" t="s">
        <v>1337</v>
      </c>
      <c r="G1272" t="str">
        <f t="shared" si="18"/>
        <v>28.91.0</v>
      </c>
      <c r="H1272" t="str">
        <f t="shared" si="19"/>
        <v>28.91.0 - Herstellung von Maschinen für die Metallerzeugung, von Walzwerkseinrichtungen und Gießmaschinen</v>
      </c>
    </row>
    <row r="1273" spans="1:8" x14ac:dyDescent="0.25">
      <c r="A1273" t="s">
        <v>714</v>
      </c>
      <c r="B1273" t="s">
        <v>1338</v>
      </c>
      <c r="G1273" t="str">
        <f t="shared" si="18"/>
        <v>28.92.1</v>
      </c>
      <c r="H1273" t="str">
        <f t="shared" si="19"/>
        <v>28.92.1 - Herstellung von Bergwerksmaschinen</v>
      </c>
    </row>
    <row r="1274" spans="1:8" x14ac:dyDescent="0.25">
      <c r="A1274" t="s">
        <v>714</v>
      </c>
      <c r="B1274" t="s">
        <v>1339</v>
      </c>
      <c r="G1274" t="str">
        <f t="shared" si="18"/>
        <v>28.92.2</v>
      </c>
      <c r="H1274" t="str">
        <f t="shared" si="19"/>
        <v>28.92.2 - Herstellung von Bau- und Baustoffmaschinen</v>
      </c>
    </row>
    <row r="1275" spans="1:8" x14ac:dyDescent="0.25">
      <c r="A1275" t="s">
        <v>715</v>
      </c>
      <c r="B1275" t="s">
        <v>1340</v>
      </c>
      <c r="G1275" t="str">
        <f t="shared" si="18"/>
        <v>28.93.0</v>
      </c>
      <c r="H1275" t="str">
        <f t="shared" si="19"/>
        <v>28.93.0 - Herstellung von Maschinen für die Nahrungs- und Genussmittelerzeugung und die Tabakverarbeitung</v>
      </c>
    </row>
    <row r="1276" spans="1:8" x14ac:dyDescent="0.25">
      <c r="A1276" t="s">
        <v>716</v>
      </c>
      <c r="B1276" t="s">
        <v>1341</v>
      </c>
      <c r="G1276" t="str">
        <f t="shared" si="18"/>
        <v>28.94.0</v>
      </c>
      <c r="H1276" t="str">
        <f t="shared" si="19"/>
        <v>28.94.0 - Herstellung von Maschinen für die Textil- und Bekleidungsherstellung und die Lederverarbeitung</v>
      </c>
    </row>
    <row r="1277" spans="1:8" x14ac:dyDescent="0.25">
      <c r="A1277" t="s">
        <v>717</v>
      </c>
      <c r="B1277" t="s">
        <v>1342</v>
      </c>
      <c r="G1277" t="str">
        <f t="shared" si="18"/>
        <v>28.95.0</v>
      </c>
      <c r="H1277" t="str">
        <f t="shared" si="19"/>
        <v>28.95.0 - Herstellung von Maschinen für die Papiererzeugung und -verarbeitung</v>
      </c>
    </row>
    <row r="1278" spans="1:8" x14ac:dyDescent="0.25">
      <c r="A1278" t="s">
        <v>718</v>
      </c>
      <c r="B1278" t="s">
        <v>1343</v>
      </c>
      <c r="G1278" t="str">
        <f t="shared" si="18"/>
        <v>28.96.0</v>
      </c>
      <c r="H1278" t="str">
        <f t="shared" si="19"/>
        <v>28.96.0 - Herstellung von Maschinen für die Verarbeitung von Kunststoffen und Kautschuk</v>
      </c>
    </row>
    <row r="1279" spans="1:8" x14ac:dyDescent="0.25">
      <c r="A1279" t="s">
        <v>719</v>
      </c>
      <c r="B1279" t="s">
        <v>1344</v>
      </c>
      <c r="G1279" t="str">
        <f t="shared" si="18"/>
        <v>28.99.0</v>
      </c>
      <c r="H1279" t="str">
        <f t="shared" si="19"/>
        <v>28.99.0 - Herstellung von Maschinen für sonstige bestimmte Wirtschaftszweige a. n. g.</v>
      </c>
    </row>
    <row r="1280" spans="1:8" x14ac:dyDescent="0.25">
      <c r="A1280" t="s">
        <v>720</v>
      </c>
      <c r="B1280" t="s">
        <v>1345</v>
      </c>
      <c r="G1280" t="str">
        <f t="shared" si="18"/>
        <v>29.10.1</v>
      </c>
      <c r="H1280" t="str">
        <f t="shared" si="19"/>
        <v>29.10.1 - Herstellung von Personenkraftwagen und Personenkraftwagenmotoren</v>
      </c>
    </row>
    <row r="1281" spans="1:8" x14ac:dyDescent="0.25">
      <c r="A1281" t="s">
        <v>720</v>
      </c>
      <c r="B1281" t="s">
        <v>1346</v>
      </c>
      <c r="G1281" t="str">
        <f t="shared" si="18"/>
        <v>29.10.2</v>
      </c>
      <c r="H1281" t="str">
        <f t="shared" si="19"/>
        <v>29.10.2 - Herstellung von Nutzkraftwagen und Nutzkraftwagenmotoren</v>
      </c>
    </row>
    <row r="1282" spans="1:8" x14ac:dyDescent="0.25">
      <c r="A1282" t="s">
        <v>721</v>
      </c>
      <c r="B1282" t="s">
        <v>1347</v>
      </c>
      <c r="G1282" t="str">
        <f t="shared" si="18"/>
        <v>29.20.0</v>
      </c>
      <c r="H1282" t="str">
        <f t="shared" si="19"/>
        <v>29.20.0 - Herstellung von Karosserien, Aufbauten und Anhängern</v>
      </c>
    </row>
    <row r="1283" spans="1:8" x14ac:dyDescent="0.25">
      <c r="A1283" t="s">
        <v>722</v>
      </c>
      <c r="B1283" t="s">
        <v>1348</v>
      </c>
      <c r="G1283" t="str">
        <f t="shared" si="18"/>
        <v>29.31.0</v>
      </c>
      <c r="H1283" t="str">
        <f t="shared" si="19"/>
        <v>29.31.0 - Herstellung elektrischer und elektronischer Ausrüstungsgegenstände für Kraftwagen</v>
      </c>
    </row>
    <row r="1284" spans="1:8" x14ac:dyDescent="0.25">
      <c r="A1284" t="s">
        <v>723</v>
      </c>
      <c r="B1284" t="s">
        <v>1349</v>
      </c>
      <c r="G1284" t="str">
        <f t="shared" si="18"/>
        <v>29.32.0</v>
      </c>
      <c r="H1284" t="str">
        <f t="shared" si="19"/>
        <v>29.32.0 - Herstellung von sonstigen Teilen und sonstigem Zubehör für Kraftwagen</v>
      </c>
    </row>
    <row r="1285" spans="1:8" x14ac:dyDescent="0.25">
      <c r="A1285" t="s">
        <v>724</v>
      </c>
      <c r="B1285" t="s">
        <v>1350</v>
      </c>
      <c r="G1285" t="str">
        <f t="shared" si="18"/>
        <v>30.11.0</v>
      </c>
      <c r="H1285" t="str">
        <f t="shared" si="19"/>
        <v>30.11.0 - Schiffbau (ohne Boots- und Yachtbau)</v>
      </c>
    </row>
    <row r="1286" spans="1:8" x14ac:dyDescent="0.25">
      <c r="A1286" t="s">
        <v>725</v>
      </c>
      <c r="B1286" t="s">
        <v>1351</v>
      </c>
      <c r="G1286" t="str">
        <f t="shared" si="18"/>
        <v>30.12.0</v>
      </c>
      <c r="H1286" t="str">
        <f t="shared" si="19"/>
        <v>30.12.0 - Boots- und Yachtbau</v>
      </c>
    </row>
    <row r="1287" spans="1:8" x14ac:dyDescent="0.25">
      <c r="A1287" t="s">
        <v>726</v>
      </c>
      <c r="B1287" t="s">
        <v>1352</v>
      </c>
      <c r="G1287" t="str">
        <f t="shared" si="18"/>
        <v>30.20.1</v>
      </c>
      <c r="H1287" t="str">
        <f t="shared" si="19"/>
        <v>30.20.1 - Herstellung von Lokomotiven und anderen Schienenfahrzeugen</v>
      </c>
    </row>
    <row r="1288" spans="1:8" x14ac:dyDescent="0.25">
      <c r="A1288" t="s">
        <v>726</v>
      </c>
      <c r="B1288" t="s">
        <v>1353</v>
      </c>
      <c r="G1288" t="str">
        <f t="shared" si="18"/>
        <v>30.20.2</v>
      </c>
      <c r="H1288" t="str">
        <f t="shared" si="19"/>
        <v>30.20.2 - Herstellung von Eisenbahninfrastruktur</v>
      </c>
    </row>
    <row r="1289" spans="1:8" x14ac:dyDescent="0.25">
      <c r="A1289" t="s">
        <v>727</v>
      </c>
      <c r="B1289" t="s">
        <v>1354</v>
      </c>
      <c r="G1289" t="str">
        <f t="shared" si="18"/>
        <v>30.30.0</v>
      </c>
      <c r="H1289" t="str">
        <f t="shared" si="19"/>
        <v>30.30.0 - Luft- und Raumfahrzeugbau</v>
      </c>
    </row>
    <row r="1290" spans="1:8" x14ac:dyDescent="0.25">
      <c r="A1290" t="s">
        <v>728</v>
      </c>
      <c r="B1290" t="s">
        <v>1355</v>
      </c>
      <c r="G1290" t="str">
        <f t="shared" si="18"/>
        <v>30.40.0</v>
      </c>
      <c r="H1290" t="str">
        <f t="shared" si="19"/>
        <v>30.40.0 - Herstellung von militärischen Kampffahrzeugen</v>
      </c>
    </row>
    <row r="1291" spans="1:8" x14ac:dyDescent="0.25">
      <c r="A1291" t="s">
        <v>729</v>
      </c>
      <c r="B1291" t="s">
        <v>1356</v>
      </c>
      <c r="G1291" t="str">
        <f t="shared" si="18"/>
        <v>30.91.0</v>
      </c>
      <c r="H1291" t="str">
        <f t="shared" si="19"/>
        <v>30.91.0 - Herstellung von Krafträdern</v>
      </c>
    </row>
    <row r="1292" spans="1:8" x14ac:dyDescent="0.25">
      <c r="A1292" t="s">
        <v>730</v>
      </c>
      <c r="B1292" t="s">
        <v>1357</v>
      </c>
      <c r="G1292" t="str">
        <f t="shared" si="18"/>
        <v>30.92.0</v>
      </c>
      <c r="H1292" t="str">
        <f t="shared" si="19"/>
        <v>30.92.0 - Herstellung von Fahrrädern sowie von Behindertenfahrzeugen</v>
      </c>
    </row>
    <row r="1293" spans="1:8" x14ac:dyDescent="0.25">
      <c r="A1293" t="s">
        <v>731</v>
      </c>
      <c r="B1293" t="s">
        <v>1358</v>
      </c>
      <c r="G1293" t="str">
        <f t="shared" si="18"/>
        <v>30.99.0</v>
      </c>
      <c r="H1293" t="str">
        <f t="shared" si="19"/>
        <v>30.99.0 - Herstellung von sonstigen Fahrzeugen a. n. g.</v>
      </c>
    </row>
    <row r="1294" spans="1:8" x14ac:dyDescent="0.25">
      <c r="A1294" t="s">
        <v>732</v>
      </c>
      <c r="B1294" t="s">
        <v>1359</v>
      </c>
      <c r="G1294" t="str">
        <f t="shared" si="18"/>
        <v>31.01.1</v>
      </c>
      <c r="H1294" t="str">
        <f t="shared" si="19"/>
        <v>31.01.1 - Herstellung von Büromöbeln</v>
      </c>
    </row>
    <row r="1295" spans="1:8" x14ac:dyDescent="0.25">
      <c r="A1295" t="s">
        <v>732</v>
      </c>
      <c r="B1295" t="s">
        <v>1360</v>
      </c>
      <c r="G1295" t="str">
        <f t="shared" si="18"/>
        <v>31.01.2</v>
      </c>
      <c r="H1295" t="str">
        <f t="shared" si="19"/>
        <v>31.01.2 - Herstellung von Ladenmöbeln und sonstigen Objektmöbeln</v>
      </c>
    </row>
    <row r="1296" spans="1:8" x14ac:dyDescent="0.25">
      <c r="A1296" t="s">
        <v>733</v>
      </c>
      <c r="B1296" t="s">
        <v>1361</v>
      </c>
      <c r="G1296" t="str">
        <f t="shared" si="18"/>
        <v>31.02.0</v>
      </c>
      <c r="H1296" t="str">
        <f t="shared" si="19"/>
        <v>31.02.0 - Herstellung von Küchenmöbeln</v>
      </c>
    </row>
    <row r="1297" spans="1:8" x14ac:dyDescent="0.25">
      <c r="A1297" t="s">
        <v>734</v>
      </c>
      <c r="B1297" t="s">
        <v>1362</v>
      </c>
      <c r="G1297" t="str">
        <f t="shared" si="18"/>
        <v>31.03.0</v>
      </c>
      <c r="H1297" t="str">
        <f t="shared" si="19"/>
        <v>31.03.0 - Herstellung von Matratzen</v>
      </c>
    </row>
    <row r="1298" spans="1:8" x14ac:dyDescent="0.25">
      <c r="A1298" t="s">
        <v>735</v>
      </c>
      <c r="B1298" t="s">
        <v>1363</v>
      </c>
      <c r="G1298" t="str">
        <f t="shared" si="18"/>
        <v>31.09.1</v>
      </c>
      <c r="H1298" t="str">
        <f t="shared" si="19"/>
        <v>31.09.1 - Herstellung von Polstermöbeln</v>
      </c>
    </row>
    <row r="1299" spans="1:8" x14ac:dyDescent="0.25">
      <c r="A1299" t="s">
        <v>735</v>
      </c>
      <c r="B1299" t="s">
        <v>1364</v>
      </c>
      <c r="G1299" t="str">
        <f t="shared" si="18"/>
        <v>31.09.9</v>
      </c>
      <c r="H1299" t="str">
        <f t="shared" si="19"/>
        <v>31.09.9 - Herstellung von sonstigen Möbeln a. n. g.</v>
      </c>
    </row>
    <row r="1300" spans="1:8" x14ac:dyDescent="0.25">
      <c r="A1300" t="s">
        <v>736</v>
      </c>
      <c r="B1300" t="s">
        <v>1365</v>
      </c>
      <c r="G1300" t="str">
        <f t="shared" si="18"/>
        <v>32.11.0</v>
      </c>
      <c r="H1300" t="str">
        <f t="shared" si="19"/>
        <v>32.11.0 - Herstellung von Münzen</v>
      </c>
    </row>
    <row r="1301" spans="1:8" x14ac:dyDescent="0.25">
      <c r="A1301" t="s">
        <v>737</v>
      </c>
      <c r="B1301" t="s">
        <v>1366</v>
      </c>
      <c r="G1301" t="str">
        <f t="shared" si="18"/>
        <v>32.12.0</v>
      </c>
      <c r="H1301" t="str">
        <f t="shared" si="19"/>
        <v>32.12.0 - Herstellung von Schmuck, Gold- und Silberschmiedewaren (ohne Fantasieschmuck)</v>
      </c>
    </row>
    <row r="1302" spans="1:8" x14ac:dyDescent="0.25">
      <c r="A1302" t="s">
        <v>738</v>
      </c>
      <c r="B1302" t="s">
        <v>1367</v>
      </c>
      <c r="G1302" t="str">
        <f t="shared" si="18"/>
        <v>32.13.0</v>
      </c>
      <c r="H1302" t="str">
        <f t="shared" si="19"/>
        <v>32.13.0 - Herstellung von Fantasieschmuck</v>
      </c>
    </row>
    <row r="1303" spans="1:8" x14ac:dyDescent="0.25">
      <c r="A1303" t="s">
        <v>739</v>
      </c>
      <c r="B1303" t="s">
        <v>1368</v>
      </c>
      <c r="G1303" t="str">
        <f t="shared" si="18"/>
        <v>32.20.0</v>
      </c>
      <c r="H1303" t="str">
        <f t="shared" si="19"/>
        <v>32.20.0 - Herstellung von Musikinstrumenten</v>
      </c>
    </row>
    <row r="1304" spans="1:8" x14ac:dyDescent="0.25">
      <c r="A1304" t="s">
        <v>740</v>
      </c>
      <c r="B1304" t="s">
        <v>1369</v>
      </c>
      <c r="G1304" t="str">
        <f t="shared" si="18"/>
        <v>32.30.0</v>
      </c>
      <c r="H1304" t="str">
        <f t="shared" si="19"/>
        <v>32.30.0 - Herstellung von Sportgeräten</v>
      </c>
    </row>
    <row r="1305" spans="1:8" x14ac:dyDescent="0.25">
      <c r="A1305" t="s">
        <v>741</v>
      </c>
      <c r="B1305" t="s">
        <v>1370</v>
      </c>
      <c r="G1305" t="str">
        <f t="shared" si="18"/>
        <v>32.40.0</v>
      </c>
      <c r="H1305" t="str">
        <f t="shared" si="19"/>
        <v>32.40.0 - Herstellung von Spielwaren</v>
      </c>
    </row>
    <row r="1306" spans="1:8" x14ac:dyDescent="0.25">
      <c r="A1306" t="s">
        <v>742</v>
      </c>
      <c r="B1306" t="s">
        <v>1371</v>
      </c>
      <c r="G1306" t="str">
        <f t="shared" si="18"/>
        <v>32.50.1</v>
      </c>
      <c r="H1306" t="str">
        <f t="shared" si="19"/>
        <v>32.50.1 - Herstellung von medizintechnischen Apparaten und Materialien a. n. g.</v>
      </c>
    </row>
    <row r="1307" spans="1:8" x14ac:dyDescent="0.25">
      <c r="A1307" t="s">
        <v>742</v>
      </c>
      <c r="B1307" t="s">
        <v>1372</v>
      </c>
      <c r="G1307" t="str">
        <f t="shared" si="18"/>
        <v>32.50.2</v>
      </c>
      <c r="H1307" t="str">
        <f t="shared" si="19"/>
        <v>32.50.2 - Herstellung von orthopädischen Erzeugnissen</v>
      </c>
    </row>
    <row r="1308" spans="1:8" x14ac:dyDescent="0.25">
      <c r="A1308" t="s">
        <v>742</v>
      </c>
      <c r="B1308" t="s">
        <v>1373</v>
      </c>
      <c r="G1308" t="str">
        <f t="shared" si="18"/>
        <v>32.50.3</v>
      </c>
      <c r="H1308" t="str">
        <f t="shared" si="19"/>
        <v>32.50.3 - Zahntechnische Laboratorien</v>
      </c>
    </row>
    <row r="1309" spans="1:8" x14ac:dyDescent="0.25">
      <c r="A1309" t="s">
        <v>743</v>
      </c>
      <c r="B1309" t="s">
        <v>1374</v>
      </c>
      <c r="G1309" t="str">
        <f t="shared" si="18"/>
        <v>32.91.0</v>
      </c>
      <c r="H1309" t="str">
        <f t="shared" si="19"/>
        <v>32.91.0 - Herstellung von Besen und Bürsten</v>
      </c>
    </row>
    <row r="1310" spans="1:8" x14ac:dyDescent="0.25">
      <c r="A1310" t="s">
        <v>744</v>
      </c>
      <c r="B1310" t="s">
        <v>1375</v>
      </c>
      <c r="G1310" t="str">
        <f t="shared" si="18"/>
        <v>32.99.0</v>
      </c>
      <c r="H1310" t="str">
        <f t="shared" si="19"/>
        <v>32.99.0 - Herstellung von sonstigen Erzeugnissen a. n. g.</v>
      </c>
    </row>
    <row r="1311" spans="1:8" x14ac:dyDescent="0.25">
      <c r="A1311" t="s">
        <v>745</v>
      </c>
      <c r="B1311" t="s">
        <v>1376</v>
      </c>
      <c r="G1311" t="str">
        <f t="shared" si="18"/>
        <v>33.11.0</v>
      </c>
      <c r="H1311" t="str">
        <f t="shared" si="19"/>
        <v>33.11.0 - Reparatur von Metallerzeugnissen</v>
      </c>
    </row>
    <row r="1312" spans="1:8" x14ac:dyDescent="0.25">
      <c r="A1312" t="s">
        <v>746</v>
      </c>
      <c r="B1312" t="s">
        <v>1377</v>
      </c>
      <c r="G1312" t="str">
        <f t="shared" si="18"/>
        <v>33.12.0</v>
      </c>
      <c r="H1312" t="str">
        <f t="shared" si="19"/>
        <v>33.12.0 - Reparatur von Maschinen</v>
      </c>
    </row>
    <row r="1313" spans="1:8" x14ac:dyDescent="0.25">
      <c r="A1313" t="s">
        <v>747</v>
      </c>
      <c r="B1313" t="s">
        <v>1378</v>
      </c>
      <c r="G1313" t="str">
        <f t="shared" si="18"/>
        <v>33.13.0</v>
      </c>
      <c r="H1313" t="str">
        <f t="shared" si="19"/>
        <v>33.13.0 - Reparatur von elektronischen und optischen Geräten</v>
      </c>
    </row>
    <row r="1314" spans="1:8" x14ac:dyDescent="0.25">
      <c r="A1314" t="s">
        <v>748</v>
      </c>
      <c r="B1314" t="s">
        <v>1379</v>
      </c>
      <c r="G1314" t="str">
        <f t="shared" si="18"/>
        <v>33.14.0</v>
      </c>
      <c r="H1314" t="str">
        <f t="shared" si="19"/>
        <v>33.14.0 - Reparatur von elektrischen Ausrüstungen</v>
      </c>
    </row>
    <row r="1315" spans="1:8" x14ac:dyDescent="0.25">
      <c r="A1315" t="s">
        <v>749</v>
      </c>
      <c r="B1315" t="s">
        <v>1380</v>
      </c>
      <c r="G1315" t="str">
        <f t="shared" si="18"/>
        <v>33.15.0</v>
      </c>
      <c r="H1315" t="str">
        <f t="shared" si="19"/>
        <v>33.15.0 - Reparatur und Instandhaltung von Schiffen, Booten und Yachten</v>
      </c>
    </row>
    <row r="1316" spans="1:8" x14ac:dyDescent="0.25">
      <c r="A1316" t="s">
        <v>750</v>
      </c>
      <c r="B1316" t="s">
        <v>1381</v>
      </c>
      <c r="G1316" t="str">
        <f t="shared" si="18"/>
        <v>33.16.0</v>
      </c>
      <c r="H1316" t="str">
        <f t="shared" si="19"/>
        <v>33.16.0 - Reparatur und Instandhaltung von Luft- und Raumfahrzeugen</v>
      </c>
    </row>
    <row r="1317" spans="1:8" x14ac:dyDescent="0.25">
      <c r="A1317" t="s">
        <v>751</v>
      </c>
      <c r="B1317" t="s">
        <v>1382</v>
      </c>
      <c r="G1317" t="str">
        <f t="shared" si="18"/>
        <v>33.17.0</v>
      </c>
      <c r="H1317" t="str">
        <f t="shared" si="19"/>
        <v>33.17.0 - Reparatur und Instandhaltung von Fahrzeugen a. n. g.</v>
      </c>
    </row>
    <row r="1318" spans="1:8" x14ac:dyDescent="0.25">
      <c r="A1318" t="s">
        <v>752</v>
      </c>
      <c r="B1318" t="s">
        <v>1383</v>
      </c>
      <c r="G1318" t="str">
        <f t="shared" si="18"/>
        <v>33.19.0</v>
      </c>
      <c r="H1318" t="str">
        <f t="shared" si="19"/>
        <v>33.19.0 - Reparatur von sonstigen Ausrüstungen</v>
      </c>
    </row>
    <row r="1319" spans="1:8" x14ac:dyDescent="0.25">
      <c r="A1319" t="s">
        <v>753</v>
      </c>
      <c r="B1319" t="s">
        <v>1384</v>
      </c>
      <c r="G1319" t="str">
        <f t="shared" ref="G1319:G1382" si="20">MID(B1319,1,7)</f>
        <v>33.20.0</v>
      </c>
      <c r="H1319" t="str">
        <f t="shared" si="19"/>
        <v>33.20.0 - Installation von Maschinen und Ausrüstungen a. n. g.</v>
      </c>
    </row>
    <row r="1320" spans="1:8" x14ac:dyDescent="0.25">
      <c r="A1320" t="s">
        <v>754</v>
      </c>
      <c r="B1320" t="s">
        <v>1385</v>
      </c>
      <c r="G1320" t="str">
        <f t="shared" si="20"/>
        <v>35.11.1</v>
      </c>
      <c r="H1320" t="str">
        <f t="shared" ref="H1320:H1383" si="21">B1320</f>
        <v>35.11.1 - Elektrizitätserzeugung ohne Verteilung</v>
      </c>
    </row>
    <row r="1321" spans="1:8" x14ac:dyDescent="0.25">
      <c r="A1321" t="s">
        <v>754</v>
      </c>
      <c r="B1321" t="s">
        <v>1386</v>
      </c>
      <c r="G1321" t="str">
        <f t="shared" si="20"/>
        <v>35.11.2</v>
      </c>
      <c r="H1321" t="str">
        <f t="shared" si="21"/>
        <v>35.11.2 - Elektrizitätserzeugung mit Fremdbezug zur Verteilung</v>
      </c>
    </row>
    <row r="1322" spans="1:8" x14ac:dyDescent="0.25">
      <c r="A1322" t="s">
        <v>754</v>
      </c>
      <c r="B1322" t="s">
        <v>1387</v>
      </c>
      <c r="G1322" t="str">
        <f t="shared" si="20"/>
        <v>35.11.3</v>
      </c>
      <c r="H1322" t="str">
        <f t="shared" si="21"/>
        <v>35.11.3 - Elektrizitätserzeugung ohne Fremdbezug zur Verteilung</v>
      </c>
    </row>
    <row r="1323" spans="1:8" x14ac:dyDescent="0.25">
      <c r="A1323" t="s">
        <v>755</v>
      </c>
      <c r="B1323" t="s">
        <v>1388</v>
      </c>
      <c r="G1323" t="str">
        <f t="shared" si="20"/>
        <v>35.12.0</v>
      </c>
      <c r="H1323" t="str">
        <f t="shared" si="21"/>
        <v>35.12.0 - Elektrizitätsübertragung</v>
      </c>
    </row>
    <row r="1324" spans="1:8" x14ac:dyDescent="0.25">
      <c r="A1324" t="s">
        <v>756</v>
      </c>
      <c r="B1324" t="s">
        <v>1389</v>
      </c>
      <c r="G1324" t="str">
        <f t="shared" si="20"/>
        <v>35.13.0</v>
      </c>
      <c r="H1324" t="str">
        <f t="shared" si="21"/>
        <v>35.13.0 - Elektrizitätsverteilung</v>
      </c>
    </row>
    <row r="1325" spans="1:8" x14ac:dyDescent="0.25">
      <c r="A1325" t="s">
        <v>757</v>
      </c>
      <c r="B1325" t="s">
        <v>1390</v>
      </c>
      <c r="G1325" t="str">
        <f t="shared" si="20"/>
        <v>35.14.0</v>
      </c>
      <c r="H1325" t="str">
        <f t="shared" si="21"/>
        <v>35.14.0 - Elektrizitätshandel</v>
      </c>
    </row>
    <row r="1326" spans="1:8" x14ac:dyDescent="0.25">
      <c r="A1326" t="s">
        <v>758</v>
      </c>
      <c r="B1326" t="s">
        <v>1391</v>
      </c>
      <c r="G1326" t="str">
        <f t="shared" si="20"/>
        <v>35.21.1</v>
      </c>
      <c r="H1326" t="str">
        <f t="shared" si="21"/>
        <v>35.21.1 - Gaserzeugung ohne Verteilung</v>
      </c>
    </row>
    <row r="1327" spans="1:8" x14ac:dyDescent="0.25">
      <c r="A1327" t="s">
        <v>758</v>
      </c>
      <c r="B1327" t="s">
        <v>1392</v>
      </c>
      <c r="G1327" t="str">
        <f t="shared" si="20"/>
        <v>35.21.2</v>
      </c>
      <c r="H1327" t="str">
        <f t="shared" si="21"/>
        <v>35.21.2 - Gaserzeugung mit Fremdbezug zur Verteilung</v>
      </c>
    </row>
    <row r="1328" spans="1:8" x14ac:dyDescent="0.25">
      <c r="A1328" t="s">
        <v>758</v>
      </c>
      <c r="B1328" t="s">
        <v>1393</v>
      </c>
      <c r="G1328" t="str">
        <f t="shared" si="20"/>
        <v>35.21.3</v>
      </c>
      <c r="H1328" t="str">
        <f t="shared" si="21"/>
        <v>35.21.3 - Gaserzeugung ohne Fremdbezug zur Verteilung</v>
      </c>
    </row>
    <row r="1329" spans="1:8" x14ac:dyDescent="0.25">
      <c r="A1329" t="s">
        <v>759</v>
      </c>
      <c r="B1329" t="s">
        <v>1394</v>
      </c>
      <c r="G1329" t="str">
        <f t="shared" si="20"/>
        <v>35.22.0</v>
      </c>
      <c r="H1329" t="str">
        <f t="shared" si="21"/>
        <v>35.22.0 - Gasverteilung durch Rohrleitungen</v>
      </c>
    </row>
    <row r="1330" spans="1:8" x14ac:dyDescent="0.25">
      <c r="A1330" t="s">
        <v>760</v>
      </c>
      <c r="B1330" t="s">
        <v>1395</v>
      </c>
      <c r="G1330" t="str">
        <f t="shared" si="20"/>
        <v>35.23.0</v>
      </c>
      <c r="H1330" t="str">
        <f t="shared" si="21"/>
        <v>35.23.0 - Gashandel durch Rohrleitungen</v>
      </c>
    </row>
    <row r="1331" spans="1:8" x14ac:dyDescent="0.25">
      <c r="A1331" t="s">
        <v>761</v>
      </c>
      <c r="B1331" t="s">
        <v>1396</v>
      </c>
      <c r="G1331" t="str">
        <f t="shared" si="20"/>
        <v>35.30.0</v>
      </c>
      <c r="H1331" t="str">
        <f t="shared" si="21"/>
        <v>35.30.0 - Wärme- und Kälteversorgung</v>
      </c>
    </row>
    <row r="1332" spans="1:8" x14ac:dyDescent="0.25">
      <c r="A1332" t="s">
        <v>762</v>
      </c>
      <c r="B1332" t="s">
        <v>1397</v>
      </c>
      <c r="G1332" t="str">
        <f t="shared" si="20"/>
        <v>36.00.1</v>
      </c>
      <c r="H1332" t="str">
        <f t="shared" si="21"/>
        <v>36.00.1 - Wassergewinnung mit Fremdbezug zur Verteilung</v>
      </c>
    </row>
    <row r="1333" spans="1:8" x14ac:dyDescent="0.25">
      <c r="A1333" t="s">
        <v>762</v>
      </c>
      <c r="B1333" t="s">
        <v>1398</v>
      </c>
      <c r="G1333" t="str">
        <f t="shared" si="20"/>
        <v>36.00.2</v>
      </c>
      <c r="H1333" t="str">
        <f t="shared" si="21"/>
        <v>36.00.2 - Wassergewinnung ohne Fremdbezug zur Verteilung</v>
      </c>
    </row>
    <row r="1334" spans="1:8" x14ac:dyDescent="0.25">
      <c r="A1334" t="s">
        <v>762</v>
      </c>
      <c r="B1334" t="s">
        <v>1399</v>
      </c>
      <c r="G1334" t="str">
        <f t="shared" si="20"/>
        <v>36.00.3</v>
      </c>
      <c r="H1334" t="str">
        <f t="shared" si="21"/>
        <v>36.00.3 - Wasserverteilung ohne Gewinnung</v>
      </c>
    </row>
    <row r="1335" spans="1:8" x14ac:dyDescent="0.25">
      <c r="A1335" t="s">
        <v>763</v>
      </c>
      <c r="B1335" t="s">
        <v>1400</v>
      </c>
      <c r="G1335" t="str">
        <f t="shared" si="20"/>
        <v>37.00.1</v>
      </c>
      <c r="H1335" t="str">
        <f t="shared" si="21"/>
        <v>37.00.1 - Betrieb der Sammelkanalisation</v>
      </c>
    </row>
    <row r="1336" spans="1:8" x14ac:dyDescent="0.25">
      <c r="A1336" t="s">
        <v>763</v>
      </c>
      <c r="B1336" t="s">
        <v>1401</v>
      </c>
      <c r="G1336" t="str">
        <f t="shared" si="20"/>
        <v>37.00.2</v>
      </c>
      <c r="H1336" t="str">
        <f t="shared" si="21"/>
        <v>37.00.2 - Betrieb von Kläranlagen</v>
      </c>
    </row>
    <row r="1337" spans="1:8" x14ac:dyDescent="0.25">
      <c r="A1337" t="s">
        <v>764</v>
      </c>
      <c r="B1337" t="s">
        <v>1402</v>
      </c>
      <c r="G1337" t="str">
        <f t="shared" si="20"/>
        <v>38.11.0</v>
      </c>
      <c r="H1337" t="str">
        <f t="shared" si="21"/>
        <v>38.11.0 - Sammlung nicht gefährlicher Abfälle</v>
      </c>
    </row>
    <row r="1338" spans="1:8" x14ac:dyDescent="0.25">
      <c r="A1338" t="s">
        <v>765</v>
      </c>
      <c r="B1338" t="s">
        <v>1403</v>
      </c>
      <c r="G1338" t="str">
        <f t="shared" si="20"/>
        <v>38.12.0</v>
      </c>
      <c r="H1338" t="str">
        <f t="shared" si="21"/>
        <v>38.12.0 - Sammlung gefährlicher Abfälle</v>
      </c>
    </row>
    <row r="1339" spans="1:8" x14ac:dyDescent="0.25">
      <c r="A1339" t="s">
        <v>766</v>
      </c>
      <c r="B1339" t="s">
        <v>1404</v>
      </c>
      <c r="G1339" t="str">
        <f t="shared" si="20"/>
        <v>38.21.0</v>
      </c>
      <c r="H1339" t="str">
        <f t="shared" si="21"/>
        <v>38.21.0 - Behandlung und Beseitigung nicht gefährlicher Abfälle</v>
      </c>
    </row>
    <row r="1340" spans="1:8" x14ac:dyDescent="0.25">
      <c r="A1340" t="s">
        <v>767</v>
      </c>
      <c r="B1340" t="s">
        <v>1405</v>
      </c>
      <c r="G1340" t="str">
        <f t="shared" si="20"/>
        <v>38.22.0</v>
      </c>
      <c r="H1340" t="str">
        <f t="shared" si="21"/>
        <v>38.22.0 - Behandlung und Beseitigung gefährlicher Abfälle</v>
      </c>
    </row>
    <row r="1341" spans="1:8" x14ac:dyDescent="0.25">
      <c r="A1341" t="s">
        <v>768</v>
      </c>
      <c r="B1341" t="s">
        <v>1406</v>
      </c>
      <c r="G1341" t="str">
        <f t="shared" si="20"/>
        <v>38.31.0</v>
      </c>
      <c r="H1341" t="str">
        <f t="shared" si="21"/>
        <v>38.31.0 - Zerlegen von Schiffs- und Fahrzeugwracks und anderen Altwaren</v>
      </c>
    </row>
    <row r="1342" spans="1:8" x14ac:dyDescent="0.25">
      <c r="A1342" t="s">
        <v>769</v>
      </c>
      <c r="B1342" t="s">
        <v>1407</v>
      </c>
      <c r="G1342" t="str">
        <f t="shared" si="20"/>
        <v>38.32.0</v>
      </c>
      <c r="H1342" t="str">
        <f t="shared" si="21"/>
        <v>38.32.0 - Rückgewinnung sortierter Werkstoffe</v>
      </c>
    </row>
    <row r="1343" spans="1:8" x14ac:dyDescent="0.25">
      <c r="A1343" t="s">
        <v>770</v>
      </c>
      <c r="B1343" t="s">
        <v>1408</v>
      </c>
      <c r="G1343" t="str">
        <f t="shared" si="20"/>
        <v>39.00.0</v>
      </c>
      <c r="H1343" t="str">
        <f t="shared" si="21"/>
        <v>39.00.0 - Beseitigung von Umweltverschmutzungen und sonstige Entsorgung</v>
      </c>
    </row>
    <row r="1344" spans="1:8" x14ac:dyDescent="0.25">
      <c r="A1344" t="s">
        <v>771</v>
      </c>
      <c r="B1344" t="s">
        <v>1409</v>
      </c>
      <c r="G1344" t="str">
        <f t="shared" si="20"/>
        <v>41.10.1</v>
      </c>
      <c r="H1344" t="str">
        <f t="shared" si="21"/>
        <v>41.10.1 - Erschließung von unbebauten Grundstücken</v>
      </c>
    </row>
    <row r="1345" spans="1:8" x14ac:dyDescent="0.25">
      <c r="A1345" t="s">
        <v>771</v>
      </c>
      <c r="B1345" t="s">
        <v>1410</v>
      </c>
      <c r="G1345" t="str">
        <f t="shared" si="20"/>
        <v>41.10.2</v>
      </c>
      <c r="H1345" t="str">
        <f t="shared" si="21"/>
        <v>41.10.2 - Bauträger für Nichtwohngebäude</v>
      </c>
    </row>
    <row r="1346" spans="1:8" x14ac:dyDescent="0.25">
      <c r="A1346" t="s">
        <v>771</v>
      </c>
      <c r="B1346" t="s">
        <v>1411</v>
      </c>
      <c r="G1346" t="str">
        <f t="shared" si="20"/>
        <v>41.10.3</v>
      </c>
      <c r="H1346" t="str">
        <f t="shared" si="21"/>
        <v>41.10.3 - Bauträger für Wohngebäude</v>
      </c>
    </row>
    <row r="1347" spans="1:8" x14ac:dyDescent="0.25">
      <c r="A1347" t="s">
        <v>772</v>
      </c>
      <c r="B1347" t="s">
        <v>1412</v>
      </c>
      <c r="G1347" t="str">
        <f t="shared" si="20"/>
        <v>41.20.1</v>
      </c>
      <c r="H1347" t="str">
        <f t="shared" si="21"/>
        <v>41.20.1 - Bau von Gebäuden (ohne Fertigteilbau)</v>
      </c>
    </row>
    <row r="1348" spans="1:8" x14ac:dyDescent="0.25">
      <c r="A1348" t="s">
        <v>772</v>
      </c>
      <c r="B1348" t="s">
        <v>1413</v>
      </c>
      <c r="G1348" t="str">
        <f t="shared" si="20"/>
        <v>41.20.2</v>
      </c>
      <c r="H1348" t="str">
        <f t="shared" si="21"/>
        <v>41.20.2 - Errichtung von Fertigteilbauten</v>
      </c>
    </row>
    <row r="1349" spans="1:8" x14ac:dyDescent="0.25">
      <c r="A1349" t="s">
        <v>773</v>
      </c>
      <c r="B1349" t="s">
        <v>1414</v>
      </c>
      <c r="G1349" t="str">
        <f t="shared" si="20"/>
        <v>42.11.0</v>
      </c>
      <c r="H1349" t="str">
        <f t="shared" si="21"/>
        <v>42.11.0 - Bau von Straßen</v>
      </c>
    </row>
    <row r="1350" spans="1:8" x14ac:dyDescent="0.25">
      <c r="A1350" t="s">
        <v>774</v>
      </c>
      <c r="B1350" t="s">
        <v>1415</v>
      </c>
      <c r="G1350" t="str">
        <f t="shared" si="20"/>
        <v>42.12.0</v>
      </c>
      <c r="H1350" t="str">
        <f t="shared" si="21"/>
        <v>42.12.0 - Bau von Bahnverkehrsstrecken</v>
      </c>
    </row>
    <row r="1351" spans="1:8" x14ac:dyDescent="0.25">
      <c r="A1351" t="s">
        <v>775</v>
      </c>
      <c r="B1351" t="s">
        <v>1416</v>
      </c>
      <c r="G1351" t="str">
        <f t="shared" si="20"/>
        <v>42.13.0</v>
      </c>
      <c r="H1351" t="str">
        <f t="shared" si="21"/>
        <v>42.13.0 - Brücken- und Tunnelbau</v>
      </c>
    </row>
    <row r="1352" spans="1:8" x14ac:dyDescent="0.25">
      <c r="A1352" t="s">
        <v>776</v>
      </c>
      <c r="B1352" t="s">
        <v>1417</v>
      </c>
      <c r="G1352" t="str">
        <f t="shared" si="20"/>
        <v>42.21.0</v>
      </c>
      <c r="H1352" t="str">
        <f t="shared" si="21"/>
        <v>42.21.0 - Rohrleitungstiefbau, Brunnenbau und Kläranlagenbau</v>
      </c>
    </row>
    <row r="1353" spans="1:8" x14ac:dyDescent="0.25">
      <c r="A1353" t="s">
        <v>777</v>
      </c>
      <c r="B1353" t="s">
        <v>1418</v>
      </c>
      <c r="G1353" t="str">
        <f t="shared" si="20"/>
        <v>42.22.0</v>
      </c>
      <c r="H1353" t="str">
        <f t="shared" si="21"/>
        <v>42.22.0 - Kabelnetzleitungstiefbau</v>
      </c>
    </row>
    <row r="1354" spans="1:8" x14ac:dyDescent="0.25">
      <c r="A1354" t="s">
        <v>778</v>
      </c>
      <c r="B1354" t="s">
        <v>1419</v>
      </c>
      <c r="G1354" t="str">
        <f t="shared" si="20"/>
        <v>42.91.0</v>
      </c>
      <c r="H1354" t="str">
        <f t="shared" si="21"/>
        <v>42.91.0 - Wasserbau</v>
      </c>
    </row>
    <row r="1355" spans="1:8" x14ac:dyDescent="0.25">
      <c r="A1355" t="s">
        <v>779</v>
      </c>
      <c r="B1355" t="s">
        <v>1420</v>
      </c>
      <c r="G1355" t="str">
        <f t="shared" si="20"/>
        <v>42.99.0</v>
      </c>
      <c r="H1355" t="str">
        <f t="shared" si="21"/>
        <v>42.99.0 - Sonstiger Tiefbau a. n. g.</v>
      </c>
    </row>
    <row r="1356" spans="1:8" x14ac:dyDescent="0.25">
      <c r="A1356" t="s">
        <v>780</v>
      </c>
      <c r="B1356" t="s">
        <v>1421</v>
      </c>
      <c r="G1356" t="str">
        <f t="shared" si="20"/>
        <v>43.11.0</v>
      </c>
      <c r="H1356" t="str">
        <f t="shared" si="21"/>
        <v>43.11.0 - Abbrucharbeiten</v>
      </c>
    </row>
    <row r="1357" spans="1:8" x14ac:dyDescent="0.25">
      <c r="A1357" t="s">
        <v>781</v>
      </c>
      <c r="B1357" t="s">
        <v>1422</v>
      </c>
      <c r="G1357" t="str">
        <f t="shared" si="20"/>
        <v>43.12.0</v>
      </c>
      <c r="H1357" t="str">
        <f t="shared" si="21"/>
        <v>43.12.0 - Vorbereitende Baustellenarbeiten</v>
      </c>
    </row>
    <row r="1358" spans="1:8" x14ac:dyDescent="0.25">
      <c r="A1358" t="s">
        <v>782</v>
      </c>
      <c r="B1358" t="s">
        <v>1423</v>
      </c>
      <c r="G1358" t="str">
        <f t="shared" si="20"/>
        <v>43.13.0</v>
      </c>
      <c r="H1358" t="str">
        <f t="shared" si="21"/>
        <v>43.13.0 - Test- und Suchbohrung</v>
      </c>
    </row>
    <row r="1359" spans="1:8" x14ac:dyDescent="0.25">
      <c r="A1359" t="s">
        <v>783</v>
      </c>
      <c r="B1359" t="s">
        <v>1424</v>
      </c>
      <c r="G1359" t="str">
        <f t="shared" si="20"/>
        <v>43.21.0</v>
      </c>
      <c r="H1359" t="str">
        <f t="shared" si="21"/>
        <v>43.21.0 - Elektroinstallation</v>
      </c>
    </row>
    <row r="1360" spans="1:8" x14ac:dyDescent="0.25">
      <c r="A1360" t="s">
        <v>784</v>
      </c>
      <c r="B1360" t="s">
        <v>1425</v>
      </c>
      <c r="G1360" t="str">
        <f t="shared" si="20"/>
        <v>43.22.0</v>
      </c>
      <c r="H1360" t="str">
        <f t="shared" si="21"/>
        <v>43.22.0 - Gas-, Wasser-, Heizungs- sowie Lüftungs- und Klimainstallation</v>
      </c>
    </row>
    <row r="1361" spans="1:8" x14ac:dyDescent="0.25">
      <c r="A1361" t="s">
        <v>785</v>
      </c>
      <c r="B1361" t="s">
        <v>1426</v>
      </c>
      <c r="G1361" t="str">
        <f t="shared" si="20"/>
        <v>43.29.1</v>
      </c>
      <c r="H1361" t="str">
        <f t="shared" si="21"/>
        <v>43.29.1 - Dämmung gegen Kälte, Wärme, Schall und Erschütterung</v>
      </c>
    </row>
    <row r="1362" spans="1:8" x14ac:dyDescent="0.25">
      <c r="A1362" t="s">
        <v>785</v>
      </c>
      <c r="B1362" t="s">
        <v>1427</v>
      </c>
      <c r="G1362" t="str">
        <f t="shared" si="20"/>
        <v>43.29.9</v>
      </c>
      <c r="H1362" t="str">
        <f t="shared" si="21"/>
        <v>43.29.9 - Sonstige Bauinstallation a. n. g.</v>
      </c>
    </row>
    <row r="1363" spans="1:8" x14ac:dyDescent="0.25">
      <c r="A1363" t="s">
        <v>786</v>
      </c>
      <c r="B1363" t="s">
        <v>1428</v>
      </c>
      <c r="G1363" t="str">
        <f t="shared" si="20"/>
        <v>43.31.0</v>
      </c>
      <c r="H1363" t="str">
        <f t="shared" si="21"/>
        <v>43.31.0 - Anbringen von Stuckaturen, Gipserei und Verputzerei</v>
      </c>
    </row>
    <row r="1364" spans="1:8" x14ac:dyDescent="0.25">
      <c r="A1364" t="s">
        <v>787</v>
      </c>
      <c r="B1364" t="s">
        <v>1429</v>
      </c>
      <c r="G1364" t="str">
        <f t="shared" si="20"/>
        <v>43.32.0</v>
      </c>
      <c r="H1364" t="str">
        <f t="shared" si="21"/>
        <v>43.32.0 - Bautischlerei und -schlosserei</v>
      </c>
    </row>
    <row r="1365" spans="1:8" x14ac:dyDescent="0.25">
      <c r="A1365" t="s">
        <v>788</v>
      </c>
      <c r="B1365" t="s">
        <v>1430</v>
      </c>
      <c r="G1365" t="str">
        <f t="shared" si="20"/>
        <v>43.33.0</v>
      </c>
      <c r="H1365" t="str">
        <f t="shared" si="21"/>
        <v>43.33.0 - Fußboden-, Fliesen- und Plattenlegerei, Tapeziererei</v>
      </c>
    </row>
    <row r="1366" spans="1:8" x14ac:dyDescent="0.25">
      <c r="A1366" t="s">
        <v>789</v>
      </c>
      <c r="B1366" t="s">
        <v>1431</v>
      </c>
      <c r="G1366" t="str">
        <f t="shared" si="20"/>
        <v>43.34.1</v>
      </c>
      <c r="H1366" t="str">
        <f t="shared" si="21"/>
        <v>43.34.1 - Maler- und Lackierergewerbe</v>
      </c>
    </row>
    <row r="1367" spans="1:8" x14ac:dyDescent="0.25">
      <c r="A1367" t="s">
        <v>789</v>
      </c>
      <c r="B1367" t="s">
        <v>1432</v>
      </c>
      <c r="G1367" t="str">
        <f t="shared" si="20"/>
        <v>43.34.2</v>
      </c>
      <c r="H1367" t="str">
        <f t="shared" si="21"/>
        <v>43.34.2 - Glasergewerbe</v>
      </c>
    </row>
    <row r="1368" spans="1:8" x14ac:dyDescent="0.25">
      <c r="A1368" t="s">
        <v>790</v>
      </c>
      <c r="B1368" t="s">
        <v>1433</v>
      </c>
      <c r="G1368" t="str">
        <f t="shared" si="20"/>
        <v>43.39.0</v>
      </c>
      <c r="H1368" t="str">
        <f t="shared" si="21"/>
        <v>43.39.0 - Sonstiger Ausbau a. n. g.</v>
      </c>
    </row>
    <row r="1369" spans="1:8" x14ac:dyDescent="0.25">
      <c r="A1369" t="s">
        <v>791</v>
      </c>
      <c r="B1369" t="s">
        <v>1434</v>
      </c>
      <c r="G1369" t="str">
        <f t="shared" si="20"/>
        <v>43.91.1</v>
      </c>
      <c r="H1369" t="str">
        <f t="shared" si="21"/>
        <v>43.91.1 - Dachdeckerei und Bauspenglerei</v>
      </c>
    </row>
    <row r="1370" spans="1:8" x14ac:dyDescent="0.25">
      <c r="A1370" t="s">
        <v>791</v>
      </c>
      <c r="B1370" t="s">
        <v>1435</v>
      </c>
      <c r="G1370" t="str">
        <f t="shared" si="20"/>
        <v>43.91.2</v>
      </c>
      <c r="H1370" t="str">
        <f t="shared" si="21"/>
        <v>43.91.2 - Zimmerei und Ingenieurholzbau</v>
      </c>
    </row>
    <row r="1371" spans="1:8" x14ac:dyDescent="0.25">
      <c r="A1371" t="s">
        <v>792</v>
      </c>
      <c r="B1371" t="s">
        <v>1436</v>
      </c>
      <c r="G1371" t="str">
        <f t="shared" si="20"/>
        <v>43.99.1</v>
      </c>
      <c r="H1371" t="str">
        <f t="shared" si="21"/>
        <v>43.99.1 - Gerüstbau</v>
      </c>
    </row>
    <row r="1372" spans="1:8" x14ac:dyDescent="0.25">
      <c r="A1372" t="s">
        <v>792</v>
      </c>
      <c r="B1372" t="s">
        <v>1437</v>
      </c>
      <c r="G1372" t="str">
        <f t="shared" si="20"/>
        <v>43.99.2</v>
      </c>
      <c r="H1372" t="str">
        <f t="shared" si="21"/>
        <v>43.99.2 - Schornstein-, Feuerungs- und Industrieofenbau</v>
      </c>
    </row>
    <row r="1373" spans="1:8" x14ac:dyDescent="0.25">
      <c r="A1373" t="s">
        <v>792</v>
      </c>
      <c r="B1373" t="s">
        <v>1438</v>
      </c>
      <c r="G1373" t="str">
        <f t="shared" si="20"/>
        <v>43.99.9</v>
      </c>
      <c r="H1373" t="str">
        <f t="shared" si="21"/>
        <v>43.99.9 - Baugewerbe a. n. g.</v>
      </c>
    </row>
    <row r="1374" spans="1:8" x14ac:dyDescent="0.25">
      <c r="A1374" t="s">
        <v>793</v>
      </c>
      <c r="B1374" t="s">
        <v>1439</v>
      </c>
      <c r="G1374" t="str">
        <f t="shared" si="20"/>
        <v>45.11.0</v>
      </c>
      <c r="H1374" t="str">
        <f t="shared" si="21"/>
        <v>45.11.0 - Handel mit Kraftwagen mit einem Gesamtgewicht von 3,5 t oder weniger</v>
      </c>
    </row>
    <row r="1375" spans="1:8" x14ac:dyDescent="0.25">
      <c r="A1375" t="s">
        <v>794</v>
      </c>
      <c r="B1375" t="s">
        <v>1440</v>
      </c>
      <c r="G1375" t="str">
        <f t="shared" si="20"/>
        <v>45.19.0</v>
      </c>
      <c r="H1375" t="str">
        <f t="shared" si="21"/>
        <v>45.19.0 - Handel mit Kraftwagen mit einem Gesamtgewicht von mehr als 3,5 t</v>
      </c>
    </row>
    <row r="1376" spans="1:8" x14ac:dyDescent="0.25">
      <c r="A1376" t="s">
        <v>795</v>
      </c>
      <c r="B1376" t="s">
        <v>1441</v>
      </c>
      <c r="G1376" t="str">
        <f t="shared" si="20"/>
        <v>45.20.1</v>
      </c>
      <c r="H1376" t="str">
        <f t="shared" si="21"/>
        <v>45.20.1 - Lackieren von Kraftwagen</v>
      </c>
    </row>
    <row r="1377" spans="1:8" x14ac:dyDescent="0.25">
      <c r="A1377" t="s">
        <v>795</v>
      </c>
      <c r="B1377" t="s">
        <v>1442</v>
      </c>
      <c r="G1377" t="str">
        <f t="shared" si="20"/>
        <v>45.20.2</v>
      </c>
      <c r="H1377" t="str">
        <f t="shared" si="21"/>
        <v>45.20.2 - Autowaschanlagen</v>
      </c>
    </row>
    <row r="1378" spans="1:8" x14ac:dyDescent="0.25">
      <c r="A1378" t="s">
        <v>795</v>
      </c>
      <c r="B1378" t="s">
        <v>1443</v>
      </c>
      <c r="G1378" t="str">
        <f t="shared" si="20"/>
        <v>45.20.3</v>
      </c>
      <c r="H1378" t="str">
        <f t="shared" si="21"/>
        <v>45.20.3 - Instandhaltung und Reparatur von Kraftwagen mit einem Gesamtgewicht von 3,5 t oder weniger (ohne Lackierung und Autowäsche)</v>
      </c>
    </row>
    <row r="1379" spans="1:8" x14ac:dyDescent="0.25">
      <c r="A1379" t="s">
        <v>795</v>
      </c>
      <c r="B1379" t="s">
        <v>1444</v>
      </c>
      <c r="G1379" t="str">
        <f t="shared" si="20"/>
        <v>45.20.4</v>
      </c>
      <c r="H1379" t="str">
        <f t="shared" si="21"/>
        <v>45.20.4 - Instandhaltung und Reparatur von Kraftwagen mit einem Gesamtgewicht von mehr als 3,5 t (ohne Lackierung und Autowäsche)</v>
      </c>
    </row>
    <row r="1380" spans="1:8" x14ac:dyDescent="0.25">
      <c r="A1380" t="s">
        <v>796</v>
      </c>
      <c r="B1380" t="s">
        <v>1445</v>
      </c>
      <c r="G1380" t="str">
        <f t="shared" si="20"/>
        <v>45.31.0</v>
      </c>
      <c r="H1380" t="str">
        <f t="shared" si="21"/>
        <v>45.31.0 - Großhandel mit Kraftwagenteilen und -zubehör</v>
      </c>
    </row>
    <row r="1381" spans="1:8" x14ac:dyDescent="0.25">
      <c r="A1381" t="s">
        <v>797</v>
      </c>
      <c r="B1381" t="s">
        <v>1446</v>
      </c>
      <c r="G1381" t="str">
        <f t="shared" si="20"/>
        <v>45.32.0</v>
      </c>
      <c r="H1381" t="str">
        <f t="shared" si="21"/>
        <v>45.32.0 - Einzelhandel mit Kraftwagenteilen und -zubehör</v>
      </c>
    </row>
    <row r="1382" spans="1:8" x14ac:dyDescent="0.25">
      <c r="A1382" t="s">
        <v>798</v>
      </c>
      <c r="B1382" t="s">
        <v>1447</v>
      </c>
      <c r="G1382" t="str">
        <f t="shared" si="20"/>
        <v>45.40.0</v>
      </c>
      <c r="H1382" t="str">
        <f t="shared" si="21"/>
        <v>45.40.0 - Handel mit Krafträdern, Kraftradteilen und -zubehör; Instandhaltung und Reparatur von Krafträdern</v>
      </c>
    </row>
    <row r="1383" spans="1:8" x14ac:dyDescent="0.25">
      <c r="A1383" t="s">
        <v>799</v>
      </c>
      <c r="B1383" t="s">
        <v>1448</v>
      </c>
      <c r="G1383" t="str">
        <f t="shared" ref="G1383:G1446" si="22">MID(B1383,1,7)</f>
        <v>46.11.0</v>
      </c>
      <c r="H1383" t="str">
        <f t="shared" si="21"/>
        <v>46.11.0 - Handelsvermittlung von landwirtschaftlichen Grundstoffen, lebenden Tieren, textilen Rohstoffen und Halbwaren</v>
      </c>
    </row>
    <row r="1384" spans="1:8" x14ac:dyDescent="0.25">
      <c r="A1384" t="s">
        <v>800</v>
      </c>
      <c r="B1384" t="s">
        <v>1449</v>
      </c>
      <c r="G1384" t="str">
        <f t="shared" si="22"/>
        <v>46.12.0</v>
      </c>
      <c r="H1384" t="str">
        <f t="shared" ref="H1384:H1447" si="23">B1384</f>
        <v>46.12.0 - Handelsvermittlung von Brennstoffen, Erzen, Metallen und technischen Chemikalien</v>
      </c>
    </row>
    <row r="1385" spans="1:8" x14ac:dyDescent="0.25">
      <c r="A1385" t="s">
        <v>801</v>
      </c>
      <c r="B1385" t="s">
        <v>1450</v>
      </c>
      <c r="G1385" t="str">
        <f t="shared" si="22"/>
        <v>46.13.1</v>
      </c>
      <c r="H1385" t="str">
        <f t="shared" si="23"/>
        <v>46.13.1 - Handelsvermittlung von Rohholz, Holzhalbwaren und Bauelementen aus Holz</v>
      </c>
    </row>
    <row r="1386" spans="1:8" x14ac:dyDescent="0.25">
      <c r="A1386" t="s">
        <v>801</v>
      </c>
      <c r="B1386" t="s">
        <v>1451</v>
      </c>
      <c r="G1386" t="str">
        <f t="shared" si="22"/>
        <v>46.13.2</v>
      </c>
      <c r="H1386" t="str">
        <f t="shared" si="23"/>
        <v>46.13.2 - Handelsvermittlung von Baustoffen und Anstrichmitteln</v>
      </c>
    </row>
    <row r="1387" spans="1:8" x14ac:dyDescent="0.25">
      <c r="A1387" t="s">
        <v>802</v>
      </c>
      <c r="B1387" t="s">
        <v>1452</v>
      </c>
      <c r="G1387" t="str">
        <f t="shared" si="22"/>
        <v>46.14.1</v>
      </c>
      <c r="H1387" t="str">
        <f t="shared" si="23"/>
        <v>46.14.1 - Handelsvermittlung von Maschinen (ohne landwirtschaftliche Maschinen und Büromaschinen) und technischem Bedarf a. n. g.</v>
      </c>
    </row>
    <row r="1388" spans="1:8" x14ac:dyDescent="0.25">
      <c r="A1388" t="s">
        <v>802</v>
      </c>
      <c r="B1388" t="s">
        <v>1453</v>
      </c>
      <c r="G1388" t="str">
        <f t="shared" si="22"/>
        <v>46.14.2</v>
      </c>
      <c r="H1388" t="str">
        <f t="shared" si="23"/>
        <v>46.14.2 - Handelsvermittlung von Wasser- und Luftfahrzeugen</v>
      </c>
    </row>
    <row r="1389" spans="1:8" x14ac:dyDescent="0.25">
      <c r="A1389" t="s">
        <v>802</v>
      </c>
      <c r="B1389" t="s">
        <v>1454</v>
      </c>
      <c r="G1389" t="str">
        <f t="shared" si="22"/>
        <v>46.14.3</v>
      </c>
      <c r="H1389" t="str">
        <f t="shared" si="23"/>
        <v>46.14.3 - Handelsvermittlung von Geräten der Unterhaltungselektronik</v>
      </c>
    </row>
    <row r="1390" spans="1:8" x14ac:dyDescent="0.25">
      <c r="A1390" t="s">
        <v>802</v>
      </c>
      <c r="B1390" t="s">
        <v>1455</v>
      </c>
      <c r="G1390" t="str">
        <f t="shared" si="22"/>
        <v>46.14.4</v>
      </c>
      <c r="H1390" t="str">
        <f t="shared" si="23"/>
        <v>46.14.4 - Handelsvermittlung von Werkzeugen</v>
      </c>
    </row>
    <row r="1391" spans="1:8" x14ac:dyDescent="0.25">
      <c r="A1391" t="s">
        <v>802</v>
      </c>
      <c r="B1391" t="s">
        <v>1456</v>
      </c>
      <c r="G1391" t="str">
        <f t="shared" si="22"/>
        <v>46.14.5</v>
      </c>
      <c r="H1391" t="str">
        <f t="shared" si="23"/>
        <v>46.14.5 - Handelsvermittlung von Büromaschinen, Datenverarbeitungsgeräten, peripheren Geräten und Software</v>
      </c>
    </row>
    <row r="1392" spans="1:8" x14ac:dyDescent="0.25">
      <c r="A1392" t="s">
        <v>802</v>
      </c>
      <c r="B1392" t="s">
        <v>1457</v>
      </c>
      <c r="G1392" t="str">
        <f t="shared" si="22"/>
        <v>46.14.6</v>
      </c>
      <c r="H1392" t="str">
        <f t="shared" si="23"/>
        <v>46.14.6 - Handelsvermittlung von landwirtschaftlichen Maschinen und Geräten</v>
      </c>
    </row>
    <row r="1393" spans="1:8" x14ac:dyDescent="0.25">
      <c r="A1393" t="s">
        <v>802</v>
      </c>
      <c r="B1393" t="s">
        <v>1458</v>
      </c>
      <c r="G1393" t="str">
        <f t="shared" si="22"/>
        <v>46.14.7</v>
      </c>
      <c r="H1393" t="str">
        <f t="shared" si="23"/>
        <v>46.14.7 - Handelsvermittlung von Installationsbedarf für Gas, Wasser, Heizung und Klimatechnik</v>
      </c>
    </row>
    <row r="1394" spans="1:8" x14ac:dyDescent="0.25">
      <c r="A1394" t="s">
        <v>802</v>
      </c>
      <c r="B1394" t="s">
        <v>1459</v>
      </c>
      <c r="G1394" t="str">
        <f t="shared" si="22"/>
        <v>46.14.9</v>
      </c>
      <c r="H1394" t="str">
        <f t="shared" si="23"/>
        <v>46.14.9 - Handelsvermittlung von elektrotechnischen und elektronischen Erzeugnissen a. n. g.</v>
      </c>
    </row>
    <row r="1395" spans="1:8" x14ac:dyDescent="0.25">
      <c r="A1395" t="s">
        <v>803</v>
      </c>
      <c r="B1395" t="s">
        <v>1460</v>
      </c>
      <c r="G1395" t="str">
        <f t="shared" si="22"/>
        <v>46.15.1</v>
      </c>
      <c r="H1395" t="str">
        <f t="shared" si="23"/>
        <v>46.15.1 - Handelsvermittlung von Möbeln, Einrichtungsgegenständen und Antiquitäten</v>
      </c>
    </row>
    <row r="1396" spans="1:8" x14ac:dyDescent="0.25">
      <c r="A1396" t="s">
        <v>803</v>
      </c>
      <c r="B1396" t="s">
        <v>1461</v>
      </c>
      <c r="G1396" t="str">
        <f t="shared" si="22"/>
        <v>46.15.2</v>
      </c>
      <c r="H1396" t="str">
        <f t="shared" si="23"/>
        <v>46.15.2 - Handelsvermittlung von keramischen Erzeugnissen, Glaswaren, Holzwaren a. n. g., sowie Flecht- und Korbwaren</v>
      </c>
    </row>
    <row r="1397" spans="1:8" x14ac:dyDescent="0.25">
      <c r="A1397" t="s">
        <v>803</v>
      </c>
      <c r="B1397" t="s">
        <v>1462</v>
      </c>
      <c r="G1397" t="str">
        <f t="shared" si="22"/>
        <v>46.15.3</v>
      </c>
      <c r="H1397" t="str">
        <f t="shared" si="23"/>
        <v>46.15.3 - Handelsvermittlung von elektrischen Haushaltsgeräten</v>
      </c>
    </row>
    <row r="1398" spans="1:8" x14ac:dyDescent="0.25">
      <c r="A1398" t="s">
        <v>803</v>
      </c>
      <c r="B1398" t="s">
        <v>1463</v>
      </c>
      <c r="G1398" t="str">
        <f t="shared" si="22"/>
        <v>46.15.4</v>
      </c>
      <c r="H1398" t="str">
        <f t="shared" si="23"/>
        <v>46.15.4 - Handelsvermittlung von Eisen-, Metall- und Kunststoffwaren a. n. g.</v>
      </c>
    </row>
    <row r="1399" spans="1:8" x14ac:dyDescent="0.25">
      <c r="A1399" t="s">
        <v>803</v>
      </c>
      <c r="B1399" t="s">
        <v>1464</v>
      </c>
      <c r="G1399" t="str">
        <f t="shared" si="22"/>
        <v>46.15.5</v>
      </c>
      <c r="H1399" t="str">
        <f t="shared" si="23"/>
        <v>46.15.5 - Handelsvermittlung von Putz- und Reinigungsmitteln</v>
      </c>
    </row>
    <row r="1400" spans="1:8" x14ac:dyDescent="0.25">
      <c r="A1400" t="s">
        <v>804</v>
      </c>
      <c r="B1400" t="s">
        <v>1465</v>
      </c>
      <c r="G1400" t="str">
        <f t="shared" si="22"/>
        <v>46.16.1</v>
      </c>
      <c r="H1400" t="str">
        <f t="shared" si="23"/>
        <v>46.16.1 - Handelsvermittlung von Meterware für Bekleidung und Wäsche</v>
      </c>
    </row>
    <row r="1401" spans="1:8" x14ac:dyDescent="0.25">
      <c r="A1401" t="s">
        <v>804</v>
      </c>
      <c r="B1401" t="s">
        <v>1466</v>
      </c>
      <c r="G1401" t="str">
        <f t="shared" si="22"/>
        <v>46.16.2</v>
      </c>
      <c r="H1401" t="str">
        <f t="shared" si="23"/>
        <v>46.16.2 - Handelsvermittlung von Heim- und Haustextilien und Bodenbelägen</v>
      </c>
    </row>
    <row r="1402" spans="1:8" x14ac:dyDescent="0.25">
      <c r="A1402" t="s">
        <v>804</v>
      </c>
      <c r="B1402" t="s">
        <v>1467</v>
      </c>
      <c r="G1402" t="str">
        <f t="shared" si="22"/>
        <v>46.16.3</v>
      </c>
      <c r="H1402" t="str">
        <f t="shared" si="23"/>
        <v>46.16.3 - Handelsvermittlung von Bekleidung</v>
      </c>
    </row>
    <row r="1403" spans="1:8" x14ac:dyDescent="0.25">
      <c r="A1403" t="s">
        <v>804</v>
      </c>
      <c r="B1403" t="s">
        <v>1468</v>
      </c>
      <c r="G1403" t="str">
        <f t="shared" si="22"/>
        <v>46.16.4</v>
      </c>
      <c r="H1403" t="str">
        <f t="shared" si="23"/>
        <v>46.16.4 - Handelsvermittlung von Bekleidungszubehör</v>
      </c>
    </row>
    <row r="1404" spans="1:8" x14ac:dyDescent="0.25">
      <c r="A1404" t="s">
        <v>804</v>
      </c>
      <c r="B1404" t="s">
        <v>1469</v>
      </c>
      <c r="G1404" t="str">
        <f t="shared" si="22"/>
        <v>46.16.5</v>
      </c>
      <c r="H1404" t="str">
        <f t="shared" si="23"/>
        <v>46.16.5 - Handelsvermittlung von Schuhen, Lederwaren und Reisegepäck</v>
      </c>
    </row>
    <row r="1405" spans="1:8" x14ac:dyDescent="0.25">
      <c r="A1405" t="s">
        <v>805</v>
      </c>
      <c r="B1405" t="s">
        <v>1470</v>
      </c>
      <c r="G1405" t="str">
        <f t="shared" si="22"/>
        <v>46.17.1</v>
      </c>
      <c r="H1405" t="str">
        <f t="shared" si="23"/>
        <v>46.17.1 - Handelsvermittlung von Zucker und Süßwaren</v>
      </c>
    </row>
    <row r="1406" spans="1:8" x14ac:dyDescent="0.25">
      <c r="A1406" t="s">
        <v>805</v>
      </c>
      <c r="B1406" t="s">
        <v>1471</v>
      </c>
      <c r="G1406" t="str">
        <f t="shared" si="22"/>
        <v>46.17.2</v>
      </c>
      <c r="H1406" t="str">
        <f t="shared" si="23"/>
        <v>46.17.2 - Handelsvermittlung von Wein, Sekt und Spirituosen</v>
      </c>
    </row>
    <row r="1407" spans="1:8" x14ac:dyDescent="0.25">
      <c r="A1407" t="s">
        <v>805</v>
      </c>
      <c r="B1407" t="s">
        <v>1472</v>
      </c>
      <c r="G1407" t="str">
        <f t="shared" si="22"/>
        <v>46.17.9</v>
      </c>
      <c r="H1407" t="str">
        <f t="shared" si="23"/>
        <v>46.17.9 - Handelsvermittlung von sonstigen Nahrungsmitteln, Getränken und Tabakwaren</v>
      </c>
    </row>
    <row r="1408" spans="1:8" x14ac:dyDescent="0.25">
      <c r="A1408" t="s">
        <v>806</v>
      </c>
      <c r="B1408" t="s">
        <v>1473</v>
      </c>
      <c r="G1408" t="str">
        <f t="shared" si="22"/>
        <v>46.18.1</v>
      </c>
      <c r="H1408" t="str">
        <f t="shared" si="23"/>
        <v>46.18.1 - Handelsvermittlung von feinmechanischen, Foto- und optischen Erzeugnissen</v>
      </c>
    </row>
    <row r="1409" spans="1:8" x14ac:dyDescent="0.25">
      <c r="A1409" t="s">
        <v>806</v>
      </c>
      <c r="B1409" t="s">
        <v>1474</v>
      </c>
      <c r="G1409" t="str">
        <f t="shared" si="22"/>
        <v>46.18.2</v>
      </c>
      <c r="H1409" t="str">
        <f t="shared" si="23"/>
        <v>46.18.2 - Handelsvermittlung von Uhren, Edelmetallwaren und Schmuck</v>
      </c>
    </row>
    <row r="1410" spans="1:8" x14ac:dyDescent="0.25">
      <c r="A1410" t="s">
        <v>806</v>
      </c>
      <c r="B1410" t="s">
        <v>1475</v>
      </c>
      <c r="G1410" t="str">
        <f t="shared" si="22"/>
        <v>46.18.3</v>
      </c>
      <c r="H1410" t="str">
        <f t="shared" si="23"/>
        <v>46.18.3 - Handelsvermittlung von Spielwaren und Musikinstrumenten</v>
      </c>
    </row>
    <row r="1411" spans="1:8" x14ac:dyDescent="0.25">
      <c r="A1411" t="s">
        <v>806</v>
      </c>
      <c r="B1411" t="s">
        <v>1476</v>
      </c>
      <c r="G1411" t="str">
        <f t="shared" si="22"/>
        <v>46.18.4</v>
      </c>
      <c r="H1411" t="str">
        <f t="shared" si="23"/>
        <v>46.18.4 - Handelsvermittlung von pharmazeutischen Erzeugnissen, medizinischen und orthopädischen Artikeln und Laborbedarf, Ärztebedarf, Dentalbedarf, zahnärztlichen Instrumenten, Krankenhaus- und Altenpflegebedarf</v>
      </c>
    </row>
    <row r="1412" spans="1:8" x14ac:dyDescent="0.25">
      <c r="A1412" t="s">
        <v>806</v>
      </c>
      <c r="B1412" t="s">
        <v>1477</v>
      </c>
      <c r="G1412" t="str">
        <f t="shared" si="22"/>
        <v>46.18.5</v>
      </c>
      <c r="H1412" t="str">
        <f t="shared" si="23"/>
        <v>46.18.5 - Handelsvermittlung von kosmetischen Erzeugnissen und Körperpflegemitteln</v>
      </c>
    </row>
    <row r="1413" spans="1:8" x14ac:dyDescent="0.25">
      <c r="A1413" t="s">
        <v>806</v>
      </c>
      <c r="B1413" t="s">
        <v>1478</v>
      </c>
      <c r="G1413" t="str">
        <f t="shared" si="22"/>
        <v>46.18.6</v>
      </c>
      <c r="H1413" t="str">
        <f t="shared" si="23"/>
        <v>46.18.6 - Handelsvermittlung von Karton, Papier und Pappe, Schreibwaren, Bürobedarf, Geschenk- und Werbeartikeln, Verpackungsmitteln und Tapeten</v>
      </c>
    </row>
    <row r="1414" spans="1:8" x14ac:dyDescent="0.25">
      <c r="A1414" t="s">
        <v>806</v>
      </c>
      <c r="B1414" t="s">
        <v>1479</v>
      </c>
      <c r="G1414" t="str">
        <f t="shared" si="22"/>
        <v>46.18.7</v>
      </c>
      <c r="H1414" t="str">
        <f t="shared" si="23"/>
        <v>46.18.7 - Handelsvermittlung von Büchern, Zeitschriften, Zeitungen, Musikalien und sonstigen Druckerzeugnissen</v>
      </c>
    </row>
    <row r="1415" spans="1:8" x14ac:dyDescent="0.25">
      <c r="A1415" t="s">
        <v>806</v>
      </c>
      <c r="B1415" t="s">
        <v>1480</v>
      </c>
      <c r="G1415" t="str">
        <f t="shared" si="22"/>
        <v>46.18.9</v>
      </c>
      <c r="H1415" t="str">
        <f t="shared" si="23"/>
        <v>46.18.9 - Handelsvermittlung von sonstigen Waren a. n. g.</v>
      </c>
    </row>
    <row r="1416" spans="1:8" x14ac:dyDescent="0.25">
      <c r="A1416" t="s">
        <v>807</v>
      </c>
      <c r="B1416" t="s">
        <v>1481</v>
      </c>
      <c r="G1416" t="str">
        <f t="shared" si="22"/>
        <v>46.19.0</v>
      </c>
      <c r="H1416" t="str">
        <f t="shared" si="23"/>
        <v>46.19.0 - Handelsvermittlung von Waren ohne ausgeprägten Schwerpunkt</v>
      </c>
    </row>
    <row r="1417" spans="1:8" x14ac:dyDescent="0.25">
      <c r="A1417" t="s">
        <v>808</v>
      </c>
      <c r="B1417" t="s">
        <v>1482</v>
      </c>
      <c r="G1417" t="str">
        <f t="shared" si="22"/>
        <v>46.21.0</v>
      </c>
      <c r="H1417" t="str">
        <f t="shared" si="23"/>
        <v>46.21.0 - Großhandel mit Getreide, Rohtabak, Saatgut und Futtermitteln</v>
      </c>
    </row>
    <row r="1418" spans="1:8" x14ac:dyDescent="0.25">
      <c r="A1418" t="s">
        <v>809</v>
      </c>
      <c r="B1418" t="s">
        <v>1483</v>
      </c>
      <c r="G1418" t="str">
        <f t="shared" si="22"/>
        <v>46.22.0</v>
      </c>
      <c r="H1418" t="str">
        <f t="shared" si="23"/>
        <v>46.22.0 - Großhandel mit Blumen und Pflanzen</v>
      </c>
    </row>
    <row r="1419" spans="1:8" x14ac:dyDescent="0.25">
      <c r="A1419" t="s">
        <v>810</v>
      </c>
      <c r="B1419" t="s">
        <v>1484</v>
      </c>
      <c r="G1419" t="str">
        <f t="shared" si="22"/>
        <v>46.23.0</v>
      </c>
      <c r="H1419" t="str">
        <f t="shared" si="23"/>
        <v>46.23.0 - Großhandel mit lebenden Tieren</v>
      </c>
    </row>
    <row r="1420" spans="1:8" x14ac:dyDescent="0.25">
      <c r="A1420" t="s">
        <v>811</v>
      </c>
      <c r="B1420" t="s">
        <v>1485</v>
      </c>
      <c r="G1420" t="str">
        <f t="shared" si="22"/>
        <v>46.24.0</v>
      </c>
      <c r="H1420" t="str">
        <f t="shared" si="23"/>
        <v>46.24.0 - Großhandel mit Häuten, Fellen und Leder</v>
      </c>
    </row>
    <row r="1421" spans="1:8" x14ac:dyDescent="0.25">
      <c r="A1421" t="s">
        <v>812</v>
      </c>
      <c r="B1421" t="s">
        <v>1486</v>
      </c>
      <c r="G1421" t="str">
        <f t="shared" si="22"/>
        <v>46.31.0</v>
      </c>
      <c r="H1421" t="str">
        <f t="shared" si="23"/>
        <v>46.31.0 - Großhandel mit Obst, Gemüse und Kartoffeln</v>
      </c>
    </row>
    <row r="1422" spans="1:8" x14ac:dyDescent="0.25">
      <c r="A1422" t="s">
        <v>813</v>
      </c>
      <c r="B1422" t="s">
        <v>1487</v>
      </c>
      <c r="G1422" t="str">
        <f t="shared" si="22"/>
        <v>46.32.0</v>
      </c>
      <c r="H1422" t="str">
        <f t="shared" si="23"/>
        <v>46.32.0 - Großhandel mit Fleisch und Fleischwaren</v>
      </c>
    </row>
    <row r="1423" spans="1:8" x14ac:dyDescent="0.25">
      <c r="A1423" t="s">
        <v>814</v>
      </c>
      <c r="B1423" t="s">
        <v>1488</v>
      </c>
      <c r="G1423" t="str">
        <f t="shared" si="22"/>
        <v>46.33.0</v>
      </c>
      <c r="H1423" t="str">
        <f t="shared" si="23"/>
        <v>46.33.0 - Großhandel mit Milch, Milcherzeugnissen, Eiern, Speiseölen und Nahrungsfetten</v>
      </c>
    </row>
    <row r="1424" spans="1:8" x14ac:dyDescent="0.25">
      <c r="A1424" t="s">
        <v>815</v>
      </c>
      <c r="B1424" t="s">
        <v>1489</v>
      </c>
      <c r="G1424" t="str">
        <f t="shared" si="22"/>
        <v>46.34.0</v>
      </c>
      <c r="H1424" t="str">
        <f t="shared" si="23"/>
        <v>46.34.0 - Großhandel mit Getränken</v>
      </c>
    </row>
    <row r="1425" spans="1:8" x14ac:dyDescent="0.25">
      <c r="A1425" t="s">
        <v>816</v>
      </c>
      <c r="B1425" t="s">
        <v>1490</v>
      </c>
      <c r="G1425" t="str">
        <f t="shared" si="22"/>
        <v>46.35.0</v>
      </c>
      <c r="H1425" t="str">
        <f t="shared" si="23"/>
        <v>46.35.0 - Großhandel mit Tabakwaren</v>
      </c>
    </row>
    <row r="1426" spans="1:8" x14ac:dyDescent="0.25">
      <c r="A1426" t="s">
        <v>817</v>
      </c>
      <c r="B1426" t="s">
        <v>1491</v>
      </c>
      <c r="G1426" t="str">
        <f t="shared" si="22"/>
        <v>46.36.0</v>
      </c>
      <c r="H1426" t="str">
        <f t="shared" si="23"/>
        <v>46.36.0 - Großhandel mit Zucker, Süßwaren und Backwaren</v>
      </c>
    </row>
    <row r="1427" spans="1:8" x14ac:dyDescent="0.25">
      <c r="A1427" t="s">
        <v>818</v>
      </c>
      <c r="B1427" t="s">
        <v>1492</v>
      </c>
      <c r="G1427" t="str">
        <f t="shared" si="22"/>
        <v>46.37.0</v>
      </c>
      <c r="H1427" t="str">
        <f t="shared" si="23"/>
        <v>46.37.0 - Großhandel mit Kaffee, Tee, Kakao und Gewürzen</v>
      </c>
    </row>
    <row r="1428" spans="1:8" x14ac:dyDescent="0.25">
      <c r="A1428" t="s">
        <v>819</v>
      </c>
      <c r="B1428" t="s">
        <v>1493</v>
      </c>
      <c r="G1428" t="str">
        <f t="shared" si="22"/>
        <v>46.38.1</v>
      </c>
      <c r="H1428" t="str">
        <f t="shared" si="23"/>
        <v>46.38.1 - Großhandel mit Fisch und Fischerzeugnissen</v>
      </c>
    </row>
    <row r="1429" spans="1:8" x14ac:dyDescent="0.25">
      <c r="A1429" t="s">
        <v>819</v>
      </c>
      <c r="B1429" t="s">
        <v>1494</v>
      </c>
      <c r="G1429" t="str">
        <f t="shared" si="22"/>
        <v>46.38.2</v>
      </c>
      <c r="H1429" t="str">
        <f t="shared" si="23"/>
        <v>46.38.2 - Großhandel mit Mehl und Getreideprodukten</v>
      </c>
    </row>
    <row r="1430" spans="1:8" x14ac:dyDescent="0.25">
      <c r="A1430" t="s">
        <v>819</v>
      </c>
      <c r="B1430" t="s">
        <v>1495</v>
      </c>
      <c r="G1430" t="str">
        <f t="shared" si="22"/>
        <v>46.38.9</v>
      </c>
      <c r="H1430" t="str">
        <f t="shared" si="23"/>
        <v>46.38.9 - Großhandel mit Nahrungs- und Genussmitteln a. n. g.</v>
      </c>
    </row>
    <row r="1431" spans="1:8" x14ac:dyDescent="0.25">
      <c r="A1431" t="s">
        <v>820</v>
      </c>
      <c r="B1431" t="s">
        <v>1496</v>
      </c>
      <c r="G1431" t="str">
        <f t="shared" si="22"/>
        <v>46.39.1</v>
      </c>
      <c r="H1431" t="str">
        <f t="shared" si="23"/>
        <v>46.39.1 - Großhandel mit tiefgefrorenen Nahrungsmitteln, ohne ausgeprägten Schwerpunkt</v>
      </c>
    </row>
    <row r="1432" spans="1:8" x14ac:dyDescent="0.25">
      <c r="A1432" t="s">
        <v>820</v>
      </c>
      <c r="B1432" t="s">
        <v>1497</v>
      </c>
      <c r="G1432" t="str">
        <f t="shared" si="22"/>
        <v>46.39.9</v>
      </c>
      <c r="H1432" t="str">
        <f t="shared" si="23"/>
        <v>46.39.9 - Großhandel mit sonstigen Nahrungs- und Genussmitteln, Getränken und Tabakwaren, ohne ausgeprägten Schwerpunkt</v>
      </c>
    </row>
    <row r="1433" spans="1:8" x14ac:dyDescent="0.25">
      <c r="A1433" t="s">
        <v>821</v>
      </c>
      <c r="B1433" t="s">
        <v>1498</v>
      </c>
      <c r="G1433" t="str">
        <f t="shared" si="22"/>
        <v>46.41.0</v>
      </c>
      <c r="H1433" t="str">
        <f t="shared" si="23"/>
        <v>46.41.0 - Großhandel mit Textilien</v>
      </c>
    </row>
    <row r="1434" spans="1:8" x14ac:dyDescent="0.25">
      <c r="A1434" t="s">
        <v>822</v>
      </c>
      <c r="B1434" t="s">
        <v>1499</v>
      </c>
      <c r="G1434" t="str">
        <f t="shared" si="22"/>
        <v>46.42.1</v>
      </c>
      <c r="H1434" t="str">
        <f t="shared" si="23"/>
        <v>46.42.1 - Großhandel mit Bekleidung</v>
      </c>
    </row>
    <row r="1435" spans="1:8" x14ac:dyDescent="0.25">
      <c r="A1435" t="s">
        <v>822</v>
      </c>
      <c r="B1435" t="s">
        <v>1500</v>
      </c>
      <c r="G1435" t="str">
        <f t="shared" si="22"/>
        <v>46.42.2</v>
      </c>
      <c r="H1435" t="str">
        <f t="shared" si="23"/>
        <v>46.42.2 - Großhandel mit Schuhen</v>
      </c>
    </row>
    <row r="1436" spans="1:8" x14ac:dyDescent="0.25">
      <c r="A1436" t="s">
        <v>823</v>
      </c>
      <c r="B1436" t="s">
        <v>1501</v>
      </c>
      <c r="G1436" t="str">
        <f t="shared" si="22"/>
        <v>46.43.1</v>
      </c>
      <c r="H1436" t="str">
        <f t="shared" si="23"/>
        <v>46.43.1 - Großhandel mit Foto- und optischen Erzeugnissen</v>
      </c>
    </row>
    <row r="1437" spans="1:8" x14ac:dyDescent="0.25">
      <c r="A1437" t="s">
        <v>823</v>
      </c>
      <c r="B1437" t="s">
        <v>1502</v>
      </c>
      <c r="G1437" t="str">
        <f t="shared" si="22"/>
        <v>46.43.2</v>
      </c>
      <c r="H1437" t="str">
        <f t="shared" si="23"/>
        <v>46.43.2 - Großhandel mit elektrischen Haushaltsgeräten</v>
      </c>
    </row>
    <row r="1438" spans="1:8" x14ac:dyDescent="0.25">
      <c r="A1438" t="s">
        <v>823</v>
      </c>
      <c r="B1438" t="s">
        <v>1503</v>
      </c>
      <c r="G1438" t="str">
        <f t="shared" si="22"/>
        <v>46.43.3</v>
      </c>
      <c r="H1438" t="str">
        <f t="shared" si="23"/>
        <v>46.43.3 - Großhandel mit Geräten der Unterhaltungselektronik</v>
      </c>
    </row>
    <row r="1439" spans="1:8" x14ac:dyDescent="0.25">
      <c r="A1439" t="s">
        <v>824</v>
      </c>
      <c r="B1439" t="s">
        <v>1504</v>
      </c>
      <c r="G1439" t="str">
        <f t="shared" si="22"/>
        <v>46.44.1</v>
      </c>
      <c r="H1439" t="str">
        <f t="shared" si="23"/>
        <v>46.44.1 - Großhandel mit keramischen Erzeugnissen und Glaswaren</v>
      </c>
    </row>
    <row r="1440" spans="1:8" x14ac:dyDescent="0.25">
      <c r="A1440" t="s">
        <v>824</v>
      </c>
      <c r="B1440" t="s">
        <v>1505</v>
      </c>
      <c r="G1440" t="str">
        <f t="shared" si="22"/>
        <v>46.44.2</v>
      </c>
      <c r="H1440" t="str">
        <f t="shared" si="23"/>
        <v>46.44.2 - Großhandel mit Wasch-, Putz- und Reinigungsmitteln</v>
      </c>
    </row>
    <row r="1441" spans="1:8" x14ac:dyDescent="0.25">
      <c r="A1441" t="s">
        <v>825</v>
      </c>
      <c r="B1441" t="s">
        <v>1506</v>
      </c>
      <c r="G1441" t="str">
        <f t="shared" si="22"/>
        <v>46.45.0</v>
      </c>
      <c r="H1441" t="str">
        <f t="shared" si="23"/>
        <v>46.45.0 - Großhandel mit kosmetischen Erzeugnissen und Körperpflegemitteln</v>
      </c>
    </row>
    <row r="1442" spans="1:8" x14ac:dyDescent="0.25">
      <c r="A1442" t="s">
        <v>826</v>
      </c>
      <c r="B1442" t="s">
        <v>1507</v>
      </c>
      <c r="G1442" t="str">
        <f t="shared" si="22"/>
        <v>46.46.1</v>
      </c>
      <c r="H1442" t="str">
        <f t="shared" si="23"/>
        <v>46.46.1 - Großhandel mit pharmazeutischen Erzeugnissen</v>
      </c>
    </row>
    <row r="1443" spans="1:8" x14ac:dyDescent="0.25">
      <c r="A1443" t="s">
        <v>826</v>
      </c>
      <c r="B1443" t="s">
        <v>1508</v>
      </c>
      <c r="G1443" t="str">
        <f t="shared" si="22"/>
        <v>46.46.2</v>
      </c>
      <c r="H1443" t="str">
        <f t="shared" si="23"/>
        <v>46.46.2 - Großhandel mit medizinischen und orthopädischen Artikeln, Dental- und Laborbedarf</v>
      </c>
    </row>
    <row r="1444" spans="1:8" x14ac:dyDescent="0.25">
      <c r="A1444" t="s">
        <v>827</v>
      </c>
      <c r="B1444" t="s">
        <v>1509</v>
      </c>
      <c r="G1444" t="str">
        <f t="shared" si="22"/>
        <v>46.47.0</v>
      </c>
      <c r="H1444" t="str">
        <f t="shared" si="23"/>
        <v>46.47.0 - Großhandel mit Möbeln, Teppichen, Lampen und Leuchten</v>
      </c>
    </row>
    <row r="1445" spans="1:8" x14ac:dyDescent="0.25">
      <c r="A1445" t="s">
        <v>828</v>
      </c>
      <c r="B1445" t="s">
        <v>1510</v>
      </c>
      <c r="G1445" t="str">
        <f t="shared" si="22"/>
        <v>46.48.0</v>
      </c>
      <c r="H1445" t="str">
        <f t="shared" si="23"/>
        <v>46.48.0 - Großhandel mit Uhren und Schmuck</v>
      </c>
    </row>
    <row r="1446" spans="1:8" x14ac:dyDescent="0.25">
      <c r="A1446" t="s">
        <v>829</v>
      </c>
      <c r="B1446" t="s">
        <v>1511</v>
      </c>
      <c r="G1446" t="str">
        <f t="shared" si="22"/>
        <v>46.49.1</v>
      </c>
      <c r="H1446" t="str">
        <f t="shared" si="23"/>
        <v>46.49.1 - Großhandel mit Spielwaren und Musikinstrumenten</v>
      </c>
    </row>
    <row r="1447" spans="1:8" x14ac:dyDescent="0.25">
      <c r="A1447" t="s">
        <v>829</v>
      </c>
      <c r="B1447" t="s">
        <v>1512</v>
      </c>
      <c r="G1447" t="str">
        <f t="shared" ref="G1447:G1510" si="24">MID(B1447,1,7)</f>
        <v>46.49.2</v>
      </c>
      <c r="H1447" t="str">
        <f t="shared" si="23"/>
        <v>46.49.2 - Großhandel mit Fahrrädern, Fahrradteilen und -zubehör, Sport- und Campingartikeln (ohne Campingmöbel)</v>
      </c>
    </row>
    <row r="1448" spans="1:8" x14ac:dyDescent="0.25">
      <c r="A1448" t="s">
        <v>829</v>
      </c>
      <c r="B1448" t="s">
        <v>1513</v>
      </c>
      <c r="G1448" t="str">
        <f t="shared" si="24"/>
        <v>46.49.3</v>
      </c>
      <c r="H1448" t="str">
        <f t="shared" ref="H1448:H1511" si="25">B1448</f>
        <v>46.49.3 - Großhandel mit Lederwaren, Reisegepäck, Geschenk- und Werbeartikeln</v>
      </c>
    </row>
    <row r="1449" spans="1:8" x14ac:dyDescent="0.25">
      <c r="A1449" t="s">
        <v>829</v>
      </c>
      <c r="B1449" t="s">
        <v>1514</v>
      </c>
      <c r="G1449" t="str">
        <f t="shared" si="24"/>
        <v>46.49.4</v>
      </c>
      <c r="H1449" t="str">
        <f t="shared" si="25"/>
        <v>46.49.4 - Großhandel mit Karton, Papier, Pappe, Schreibwaren, Bürobedarf, Büchern, Zeitschriften und Zeitungen</v>
      </c>
    </row>
    <row r="1450" spans="1:8" x14ac:dyDescent="0.25">
      <c r="A1450" t="s">
        <v>829</v>
      </c>
      <c r="B1450" t="s">
        <v>1515</v>
      </c>
      <c r="G1450" t="str">
        <f t="shared" si="24"/>
        <v>46.49.5</v>
      </c>
      <c r="H1450" t="str">
        <f t="shared" si="25"/>
        <v>46.49.5 - Großhandel mit nicht elektrischen Haushaltsgeräten, Haushaltswaren aus Metall sowie sonstigen Gebrauchs- und Verbrauchsgütern a. n. g.</v>
      </c>
    </row>
    <row r="1451" spans="1:8" x14ac:dyDescent="0.25">
      <c r="A1451" t="s">
        <v>830</v>
      </c>
      <c r="B1451" t="s">
        <v>1516</v>
      </c>
      <c r="G1451" t="str">
        <f t="shared" si="24"/>
        <v>46.51.0</v>
      </c>
      <c r="H1451" t="str">
        <f t="shared" si="25"/>
        <v>46.51.0 - Großhandel mit Datenverarbeitungsgeräten, peripheren Geräten und Software</v>
      </c>
    </row>
    <row r="1452" spans="1:8" x14ac:dyDescent="0.25">
      <c r="A1452" t="s">
        <v>831</v>
      </c>
      <c r="B1452" t="s">
        <v>1517</v>
      </c>
      <c r="G1452" t="str">
        <f t="shared" si="24"/>
        <v>46.52.0</v>
      </c>
      <c r="H1452" t="str">
        <f t="shared" si="25"/>
        <v>46.52.0 - Großhandel mit elektronischen Bauteilen und Telekommunikationsgeräten</v>
      </c>
    </row>
    <row r="1453" spans="1:8" x14ac:dyDescent="0.25">
      <c r="A1453" t="s">
        <v>832</v>
      </c>
      <c r="B1453" t="s">
        <v>1518</v>
      </c>
      <c r="G1453" t="str">
        <f t="shared" si="24"/>
        <v>46.61.0</v>
      </c>
      <c r="H1453" t="str">
        <f t="shared" si="25"/>
        <v>46.61.0 - Großhandel mit landwirtschaftlichen Maschinen und Geräten</v>
      </c>
    </row>
    <row r="1454" spans="1:8" x14ac:dyDescent="0.25">
      <c r="A1454" t="s">
        <v>833</v>
      </c>
      <c r="B1454" t="s">
        <v>1519</v>
      </c>
      <c r="G1454" t="str">
        <f t="shared" si="24"/>
        <v>46.62.0</v>
      </c>
      <c r="H1454" t="str">
        <f t="shared" si="25"/>
        <v>46.62.0 - Großhandel mit Werkzeugmaschinen</v>
      </c>
    </row>
    <row r="1455" spans="1:8" x14ac:dyDescent="0.25">
      <c r="A1455" t="s">
        <v>834</v>
      </c>
      <c r="B1455" t="s">
        <v>1520</v>
      </c>
      <c r="G1455" t="str">
        <f t="shared" si="24"/>
        <v>46.63.0</v>
      </c>
      <c r="H1455" t="str">
        <f t="shared" si="25"/>
        <v>46.63.0 - Großhandel mit Bergwerks-, Bau- und Baustoffmaschinen</v>
      </c>
    </row>
    <row r="1456" spans="1:8" x14ac:dyDescent="0.25">
      <c r="A1456" t="s">
        <v>835</v>
      </c>
      <c r="B1456" t="s">
        <v>1521</v>
      </c>
      <c r="G1456" t="str">
        <f t="shared" si="24"/>
        <v>46.64.0</v>
      </c>
      <c r="H1456" t="str">
        <f t="shared" si="25"/>
        <v>46.64.0 - Großhandel mit Textil-, Näh- und Strickmaschinen</v>
      </c>
    </row>
    <row r="1457" spans="1:8" x14ac:dyDescent="0.25">
      <c r="A1457" t="s">
        <v>836</v>
      </c>
      <c r="B1457" t="s">
        <v>1522</v>
      </c>
      <c r="G1457" t="str">
        <f t="shared" si="24"/>
        <v>46.65.0</v>
      </c>
      <c r="H1457" t="str">
        <f t="shared" si="25"/>
        <v>46.65.0 - Großhandel mit Büromöbeln</v>
      </c>
    </row>
    <row r="1458" spans="1:8" x14ac:dyDescent="0.25">
      <c r="A1458" t="s">
        <v>837</v>
      </c>
      <c r="B1458" t="s">
        <v>1523</v>
      </c>
      <c r="G1458" t="str">
        <f t="shared" si="24"/>
        <v>46.66.0</v>
      </c>
      <c r="H1458" t="str">
        <f t="shared" si="25"/>
        <v>46.66.0 - Großhandel mit sonstigen Büromaschinen und -einrichtungen</v>
      </c>
    </row>
    <row r="1459" spans="1:8" x14ac:dyDescent="0.25">
      <c r="A1459" t="s">
        <v>838</v>
      </c>
      <c r="B1459" t="s">
        <v>1524</v>
      </c>
      <c r="G1459" t="str">
        <f t="shared" si="24"/>
        <v>46.69.1</v>
      </c>
      <c r="H1459" t="str">
        <f t="shared" si="25"/>
        <v>46.69.1 - Großhandel mit Flurförderzeugen und Fahrzeugen a. n. g.</v>
      </c>
    </row>
    <row r="1460" spans="1:8" x14ac:dyDescent="0.25">
      <c r="A1460" t="s">
        <v>838</v>
      </c>
      <c r="B1460" t="s">
        <v>1525</v>
      </c>
      <c r="G1460" t="str">
        <f t="shared" si="24"/>
        <v>46.69.2</v>
      </c>
      <c r="H1460" t="str">
        <f t="shared" si="25"/>
        <v>46.69.2 - Großhandel mit sonstigen Maschinen</v>
      </c>
    </row>
    <row r="1461" spans="1:8" x14ac:dyDescent="0.25">
      <c r="A1461" t="s">
        <v>838</v>
      </c>
      <c r="B1461" t="s">
        <v>1526</v>
      </c>
      <c r="G1461" t="str">
        <f t="shared" si="24"/>
        <v>46.69.3</v>
      </c>
      <c r="H1461" t="str">
        <f t="shared" si="25"/>
        <v>46.69.3 - Großhandel mit sonstigen Ausrüstungen und Zubehör für Maschinen sowie mit technischem Bedarf</v>
      </c>
    </row>
    <row r="1462" spans="1:8" x14ac:dyDescent="0.25">
      <c r="A1462" t="s">
        <v>839</v>
      </c>
      <c r="B1462" t="s">
        <v>1527</v>
      </c>
      <c r="G1462" t="str">
        <f t="shared" si="24"/>
        <v>46.71.1</v>
      </c>
      <c r="H1462" t="str">
        <f t="shared" si="25"/>
        <v>46.71.1 - Großhandel mit festen Brennstoffen</v>
      </c>
    </row>
    <row r="1463" spans="1:8" x14ac:dyDescent="0.25">
      <c r="A1463" t="s">
        <v>839</v>
      </c>
      <c r="B1463" t="s">
        <v>1528</v>
      </c>
      <c r="G1463" t="str">
        <f t="shared" si="24"/>
        <v>46.71.2</v>
      </c>
      <c r="H1463" t="str">
        <f t="shared" si="25"/>
        <v>46.71.2 - Großhandel mit Mineralölerzeugnissen</v>
      </c>
    </row>
    <row r="1464" spans="1:8" x14ac:dyDescent="0.25">
      <c r="A1464" t="s">
        <v>840</v>
      </c>
      <c r="B1464" t="s">
        <v>1529</v>
      </c>
      <c r="G1464" t="str">
        <f t="shared" si="24"/>
        <v>46.72.1</v>
      </c>
      <c r="H1464" t="str">
        <f t="shared" si="25"/>
        <v>46.72.1 - Großhandel mit Eisenerzen, Eisen, Stahl, Eisen- und Stahlhalbzeug</v>
      </c>
    </row>
    <row r="1465" spans="1:8" x14ac:dyDescent="0.25">
      <c r="A1465" t="s">
        <v>840</v>
      </c>
      <c r="B1465" t="s">
        <v>1530</v>
      </c>
      <c r="G1465" t="str">
        <f t="shared" si="24"/>
        <v>46.72.2</v>
      </c>
      <c r="H1465" t="str">
        <f t="shared" si="25"/>
        <v>46.72.2 - Großhandel mit NE-Erzen, NE-Metallen und NE-Metallhalbzeug</v>
      </c>
    </row>
    <row r="1466" spans="1:8" x14ac:dyDescent="0.25">
      <c r="A1466" t="s">
        <v>841</v>
      </c>
      <c r="B1466" t="s">
        <v>1531</v>
      </c>
      <c r="G1466" t="str">
        <f t="shared" si="24"/>
        <v>46.73.1</v>
      </c>
      <c r="H1466" t="str">
        <f t="shared" si="25"/>
        <v>46.73.1 - Großhandel mit Holz, Baustoffen, Anstrichmitteln und Sanitärkeramik, ohne ausgeprägten Schwerpunkt</v>
      </c>
    </row>
    <row r="1467" spans="1:8" x14ac:dyDescent="0.25">
      <c r="A1467" t="s">
        <v>841</v>
      </c>
      <c r="B1467" t="s">
        <v>1532</v>
      </c>
      <c r="G1467" t="str">
        <f t="shared" si="24"/>
        <v>46.73.2</v>
      </c>
      <c r="H1467" t="str">
        <f t="shared" si="25"/>
        <v>46.73.2 - Großhandel mit Roh- und Schnittholz</v>
      </c>
    </row>
    <row r="1468" spans="1:8" x14ac:dyDescent="0.25">
      <c r="A1468" t="s">
        <v>841</v>
      </c>
      <c r="B1468" t="s">
        <v>1533</v>
      </c>
      <c r="G1468" t="str">
        <f t="shared" si="24"/>
        <v>46.73.3</v>
      </c>
      <c r="H1468" t="str">
        <f t="shared" si="25"/>
        <v>46.73.3 - Großhandel mit sonstigen Holzhalbwaren sowie Bauelementen aus Holz</v>
      </c>
    </row>
    <row r="1469" spans="1:8" x14ac:dyDescent="0.25">
      <c r="A1469" t="s">
        <v>841</v>
      </c>
      <c r="B1469" t="s">
        <v>1534</v>
      </c>
      <c r="G1469" t="str">
        <f t="shared" si="24"/>
        <v>46.73.4</v>
      </c>
      <c r="H1469" t="str">
        <f t="shared" si="25"/>
        <v>46.73.4 - Großhandel mit Baustoffen und Bauelementen aus mineralischen Stoffen</v>
      </c>
    </row>
    <row r="1470" spans="1:8" x14ac:dyDescent="0.25">
      <c r="A1470" t="s">
        <v>841</v>
      </c>
      <c r="B1470" t="s">
        <v>1535</v>
      </c>
      <c r="G1470" t="str">
        <f t="shared" si="24"/>
        <v>46.73.5</v>
      </c>
      <c r="H1470" t="str">
        <f t="shared" si="25"/>
        <v>46.73.5 - Großhandel mit Flachglas</v>
      </c>
    </row>
    <row r="1471" spans="1:8" x14ac:dyDescent="0.25">
      <c r="A1471" t="s">
        <v>841</v>
      </c>
      <c r="B1471" t="s">
        <v>1536</v>
      </c>
      <c r="G1471" t="str">
        <f t="shared" si="24"/>
        <v>46.73.6</v>
      </c>
      <c r="H1471" t="str">
        <f t="shared" si="25"/>
        <v>46.73.6 - Großhandel mit Anstrichmitteln</v>
      </c>
    </row>
    <row r="1472" spans="1:8" x14ac:dyDescent="0.25">
      <c r="A1472" t="s">
        <v>841</v>
      </c>
      <c r="B1472" t="s">
        <v>1537</v>
      </c>
      <c r="G1472" t="str">
        <f t="shared" si="24"/>
        <v>46.73.7</v>
      </c>
      <c r="H1472" t="str">
        <f t="shared" si="25"/>
        <v>46.73.7 - Großhandel mit Sanitärkeramik</v>
      </c>
    </row>
    <row r="1473" spans="1:8" x14ac:dyDescent="0.25">
      <c r="A1473" t="s">
        <v>841</v>
      </c>
      <c r="B1473" t="s">
        <v>1538</v>
      </c>
      <c r="G1473" t="str">
        <f t="shared" si="24"/>
        <v>46.73.8</v>
      </c>
      <c r="H1473" t="str">
        <f t="shared" si="25"/>
        <v>46.73.8 - Großhandel mit Tapeten und Bodenbelägen (ohne Teppiche)</v>
      </c>
    </row>
    <row r="1474" spans="1:8" x14ac:dyDescent="0.25">
      <c r="A1474" t="s">
        <v>842</v>
      </c>
      <c r="B1474" t="s">
        <v>1539</v>
      </c>
      <c r="G1474" t="str">
        <f t="shared" si="24"/>
        <v>46.74.1</v>
      </c>
      <c r="H1474" t="str">
        <f t="shared" si="25"/>
        <v>46.74.1 - Großhandel mit Werkzeugen und Kleineisenwaren</v>
      </c>
    </row>
    <row r="1475" spans="1:8" x14ac:dyDescent="0.25">
      <c r="A1475" t="s">
        <v>842</v>
      </c>
      <c r="B1475" t="s">
        <v>1540</v>
      </c>
      <c r="G1475" t="str">
        <f t="shared" si="24"/>
        <v>46.74.2</v>
      </c>
      <c r="H1475" t="str">
        <f t="shared" si="25"/>
        <v>46.74.2 - Großhandel mit Installationsbedarf für Gas, Wasser und Heizung</v>
      </c>
    </row>
    <row r="1476" spans="1:8" x14ac:dyDescent="0.25">
      <c r="A1476" t="s">
        <v>842</v>
      </c>
      <c r="B1476" t="s">
        <v>1541</v>
      </c>
      <c r="G1476" t="str">
        <f t="shared" si="24"/>
        <v>46.74.3</v>
      </c>
      <c r="H1476" t="str">
        <f t="shared" si="25"/>
        <v>46.74.3 - Großhandel mit Metall- und Kunststoffwaren für Bauzwecke</v>
      </c>
    </row>
    <row r="1477" spans="1:8" x14ac:dyDescent="0.25">
      <c r="A1477" t="s">
        <v>843</v>
      </c>
      <c r="B1477" t="s">
        <v>1542</v>
      </c>
      <c r="G1477" t="str">
        <f t="shared" si="24"/>
        <v>46.75.0</v>
      </c>
      <c r="H1477" t="str">
        <f t="shared" si="25"/>
        <v>46.75.0 - Großhandel mit chemischen Erzeugnissen</v>
      </c>
    </row>
    <row r="1478" spans="1:8" x14ac:dyDescent="0.25">
      <c r="A1478" t="s">
        <v>844</v>
      </c>
      <c r="B1478" t="s">
        <v>1543</v>
      </c>
      <c r="G1478" t="str">
        <f t="shared" si="24"/>
        <v>46.76.0</v>
      </c>
      <c r="H1478" t="str">
        <f t="shared" si="25"/>
        <v>46.76.0 - Großhandel mit sonstigen Halbwaren</v>
      </c>
    </row>
    <row r="1479" spans="1:8" x14ac:dyDescent="0.25">
      <c r="A1479" t="s">
        <v>845</v>
      </c>
      <c r="B1479" t="s">
        <v>1544</v>
      </c>
      <c r="G1479" t="str">
        <f t="shared" si="24"/>
        <v>46.77.0</v>
      </c>
      <c r="H1479" t="str">
        <f t="shared" si="25"/>
        <v>46.77.0 - Großhandel mit Altmaterialien und Reststoffen</v>
      </c>
    </row>
    <row r="1480" spans="1:8" x14ac:dyDescent="0.25">
      <c r="A1480" t="s">
        <v>846</v>
      </c>
      <c r="B1480" t="s">
        <v>1545</v>
      </c>
      <c r="G1480" t="str">
        <f t="shared" si="24"/>
        <v>46.90.1</v>
      </c>
      <c r="H1480" t="str">
        <f t="shared" si="25"/>
        <v>46.90.1 - Großhandel mit Rohstoffen, Halb- und Fertigwaren, ohne ausgeprägten Schwerpunkt</v>
      </c>
    </row>
    <row r="1481" spans="1:8" x14ac:dyDescent="0.25">
      <c r="A1481" t="s">
        <v>846</v>
      </c>
      <c r="B1481" t="s">
        <v>1546</v>
      </c>
      <c r="G1481" t="str">
        <f t="shared" si="24"/>
        <v>46.90.2</v>
      </c>
      <c r="H1481" t="str">
        <f t="shared" si="25"/>
        <v>46.90.2 - Großhandel mit Rohstoffen und Halbwaren, ohne ausgeprägten Schwerpunkt</v>
      </c>
    </row>
    <row r="1482" spans="1:8" x14ac:dyDescent="0.25">
      <c r="A1482" t="s">
        <v>846</v>
      </c>
      <c r="B1482" t="s">
        <v>1547</v>
      </c>
      <c r="G1482" t="str">
        <f t="shared" si="24"/>
        <v>46.90.3</v>
      </c>
      <c r="H1482" t="str">
        <f t="shared" si="25"/>
        <v>46.90.3 - Großhandel mit Fertigwaren, ohne ausgeprägten Schwerpunkt</v>
      </c>
    </row>
    <row r="1483" spans="1:8" x14ac:dyDescent="0.25">
      <c r="A1483" t="s">
        <v>847</v>
      </c>
      <c r="B1483" t="s">
        <v>1548</v>
      </c>
      <c r="G1483" t="str">
        <f t="shared" si="24"/>
        <v>47.11.1</v>
      </c>
      <c r="H1483" t="str">
        <f t="shared" si="25"/>
        <v>47.11.1 - Einzelhandel mit Nahrungs- und Genussmitteln, Getränken und Tabakwaren, ohne ausgeprägten Schwerpunkt</v>
      </c>
    </row>
    <row r="1484" spans="1:8" x14ac:dyDescent="0.25">
      <c r="A1484" t="s">
        <v>847</v>
      </c>
      <c r="B1484" t="s">
        <v>1549</v>
      </c>
      <c r="G1484" t="str">
        <f t="shared" si="24"/>
        <v>47.11.2</v>
      </c>
      <c r="H1484" t="str">
        <f t="shared" si="25"/>
        <v>47.11.2 - Sonstiger Einzelhandel mit Waren verschiedener Art, Hauptrichtung Nahrungs- und Genussmittel, Getränke und Tabakwaren</v>
      </c>
    </row>
    <row r="1485" spans="1:8" x14ac:dyDescent="0.25">
      <c r="A1485" t="s">
        <v>848</v>
      </c>
      <c r="B1485" t="s">
        <v>1550</v>
      </c>
      <c r="G1485" t="str">
        <f t="shared" si="24"/>
        <v>47.19.1</v>
      </c>
      <c r="H1485" t="str">
        <f t="shared" si="25"/>
        <v>47.19.1 - Einzelhandel mit Waren verschiedener Art (ohne Nahrungsmittel)</v>
      </c>
    </row>
    <row r="1486" spans="1:8" x14ac:dyDescent="0.25">
      <c r="A1486" t="s">
        <v>848</v>
      </c>
      <c r="B1486" t="s">
        <v>1551</v>
      </c>
      <c r="G1486" t="str">
        <f t="shared" si="24"/>
        <v>47.19.2</v>
      </c>
      <c r="H1486" t="str">
        <f t="shared" si="25"/>
        <v>47.19.2 - Einzelhandel mit Waren verschiedener Art, Hauptrichtung Nicht-Nahrungsmittel</v>
      </c>
    </row>
    <row r="1487" spans="1:8" x14ac:dyDescent="0.25">
      <c r="A1487" t="s">
        <v>849</v>
      </c>
      <c r="B1487" t="s">
        <v>1552</v>
      </c>
      <c r="G1487" t="str">
        <f t="shared" si="24"/>
        <v>47.21.0</v>
      </c>
      <c r="H1487" t="str">
        <f t="shared" si="25"/>
        <v>47.21.0 - Einzelhandel mit Obst, Gemüse und Kartoffeln</v>
      </c>
    </row>
    <row r="1488" spans="1:8" x14ac:dyDescent="0.25">
      <c r="A1488" t="s">
        <v>850</v>
      </c>
      <c r="B1488" t="s">
        <v>1553</v>
      </c>
      <c r="G1488" t="str">
        <f t="shared" si="24"/>
        <v>47.22.0</v>
      </c>
      <c r="H1488" t="str">
        <f t="shared" si="25"/>
        <v>47.22.0 - Einzelhandel mit Fleisch und Fleischwaren</v>
      </c>
    </row>
    <row r="1489" spans="1:8" x14ac:dyDescent="0.25">
      <c r="A1489" t="s">
        <v>851</v>
      </c>
      <c r="B1489" t="s">
        <v>1554</v>
      </c>
      <c r="G1489" t="str">
        <f t="shared" si="24"/>
        <v>47.23.0</v>
      </c>
      <c r="H1489" t="str">
        <f t="shared" si="25"/>
        <v>47.23.0 - Einzelhandel mit Fisch, Meeresfrüchten und Fischerzeugnissen</v>
      </c>
    </row>
    <row r="1490" spans="1:8" x14ac:dyDescent="0.25">
      <c r="A1490" t="s">
        <v>852</v>
      </c>
      <c r="B1490" t="s">
        <v>1555</v>
      </c>
      <c r="G1490" t="str">
        <f t="shared" si="24"/>
        <v>47.24.0</v>
      </c>
      <c r="H1490" t="str">
        <f t="shared" si="25"/>
        <v>47.24.0 - Einzelhandel mit Back- und Süßwaren</v>
      </c>
    </row>
    <row r="1491" spans="1:8" x14ac:dyDescent="0.25">
      <c r="A1491" t="s">
        <v>853</v>
      </c>
      <c r="B1491" t="s">
        <v>1556</v>
      </c>
      <c r="G1491" t="str">
        <f t="shared" si="24"/>
        <v>47.25.0</v>
      </c>
      <c r="H1491" t="str">
        <f t="shared" si="25"/>
        <v>47.25.0 - Einzelhandel mit Getränken</v>
      </c>
    </row>
    <row r="1492" spans="1:8" x14ac:dyDescent="0.25">
      <c r="A1492" t="s">
        <v>854</v>
      </c>
      <c r="B1492" t="s">
        <v>1557</v>
      </c>
      <c r="G1492" t="str">
        <f t="shared" si="24"/>
        <v>47.26.0</v>
      </c>
      <c r="H1492" t="str">
        <f t="shared" si="25"/>
        <v>47.26.0 - Einzelhandel mit Tabakwaren</v>
      </c>
    </row>
    <row r="1493" spans="1:8" x14ac:dyDescent="0.25">
      <c r="A1493" t="s">
        <v>855</v>
      </c>
      <c r="B1493" t="s">
        <v>1558</v>
      </c>
      <c r="G1493" t="str">
        <f t="shared" si="24"/>
        <v>47.29.0</v>
      </c>
      <c r="H1493" t="str">
        <f t="shared" si="25"/>
        <v>47.29.0 - Sonstiger Einzelhandel mit Nahrungs- und Genussmitteln</v>
      </c>
    </row>
    <row r="1494" spans="1:8" x14ac:dyDescent="0.25">
      <c r="A1494" t="s">
        <v>856</v>
      </c>
      <c r="B1494" t="s">
        <v>1559</v>
      </c>
      <c r="G1494" t="str">
        <f t="shared" si="24"/>
        <v>47.30.1</v>
      </c>
      <c r="H1494" t="str">
        <f t="shared" si="25"/>
        <v>47.30.1 - Einzelhandel in fremdem Namen mit Motorenkraftstoffen (Agenturtankstellen)</v>
      </c>
    </row>
    <row r="1495" spans="1:8" x14ac:dyDescent="0.25">
      <c r="A1495" t="s">
        <v>856</v>
      </c>
      <c r="B1495" t="s">
        <v>1560</v>
      </c>
      <c r="G1495" t="str">
        <f t="shared" si="24"/>
        <v>47.30.2</v>
      </c>
      <c r="H1495" t="str">
        <f t="shared" si="25"/>
        <v>47.30.2 - Einzelhandel in eigenem Namen mit Motorenkraftstoffen (Freie Tankstellen)</v>
      </c>
    </row>
    <row r="1496" spans="1:8" x14ac:dyDescent="0.25">
      <c r="A1496" t="s">
        <v>857</v>
      </c>
      <c r="B1496" t="s">
        <v>1561</v>
      </c>
      <c r="G1496" t="str">
        <f t="shared" si="24"/>
        <v>47.41.0</v>
      </c>
      <c r="H1496" t="str">
        <f t="shared" si="25"/>
        <v>47.41.0 - Einzelhandel mit Datenverarbeitungsgeräten, peripheren Geräten und Software</v>
      </c>
    </row>
    <row r="1497" spans="1:8" x14ac:dyDescent="0.25">
      <c r="A1497" t="s">
        <v>858</v>
      </c>
      <c r="B1497" t="s">
        <v>1562</v>
      </c>
      <c r="G1497" t="str">
        <f t="shared" si="24"/>
        <v>47.42.0</v>
      </c>
      <c r="H1497" t="str">
        <f t="shared" si="25"/>
        <v>47.42.0 - Einzelhandel mit Telekommunikationsgeräten</v>
      </c>
    </row>
    <row r="1498" spans="1:8" x14ac:dyDescent="0.25">
      <c r="A1498" t="s">
        <v>859</v>
      </c>
      <c r="B1498" t="s">
        <v>1563</v>
      </c>
      <c r="G1498" t="str">
        <f t="shared" si="24"/>
        <v>47.43.0</v>
      </c>
      <c r="H1498" t="str">
        <f t="shared" si="25"/>
        <v>47.43.0 - Einzelhandel mit Geräten der Unterhaltungselektronik</v>
      </c>
    </row>
    <row r="1499" spans="1:8" x14ac:dyDescent="0.25">
      <c r="A1499" t="s">
        <v>860</v>
      </c>
      <c r="B1499" t="s">
        <v>1564</v>
      </c>
      <c r="G1499" t="str">
        <f t="shared" si="24"/>
        <v>47.51.0</v>
      </c>
      <c r="H1499" t="str">
        <f t="shared" si="25"/>
        <v>47.51.0 - Einzelhandel mit Textilien</v>
      </c>
    </row>
    <row r="1500" spans="1:8" x14ac:dyDescent="0.25">
      <c r="A1500" t="s">
        <v>861</v>
      </c>
      <c r="B1500" t="s">
        <v>1565</v>
      </c>
      <c r="G1500" t="str">
        <f t="shared" si="24"/>
        <v>47.52.1</v>
      </c>
      <c r="H1500" t="str">
        <f t="shared" si="25"/>
        <v>47.52.1 - Einzelhandel mit Metall- und Kunststoffwaren a. n. g.</v>
      </c>
    </row>
    <row r="1501" spans="1:8" x14ac:dyDescent="0.25">
      <c r="A1501" t="s">
        <v>861</v>
      </c>
      <c r="B1501" t="s">
        <v>1566</v>
      </c>
      <c r="G1501" t="str">
        <f t="shared" si="24"/>
        <v>47.52.3</v>
      </c>
      <c r="H1501" t="str">
        <f t="shared" si="25"/>
        <v>47.52.3 - Einzelhandel mit Anstrichmitteln, Bau- und Heimwerkerbedarf</v>
      </c>
    </row>
    <row r="1502" spans="1:8" x14ac:dyDescent="0.25">
      <c r="A1502" t="s">
        <v>862</v>
      </c>
      <c r="B1502" t="s">
        <v>1567</v>
      </c>
      <c r="G1502" t="str">
        <f t="shared" si="24"/>
        <v>47.53.0</v>
      </c>
      <c r="H1502" t="str">
        <f t="shared" si="25"/>
        <v>47.53.0 - Einzelhandel mit Vorhängen, Teppichen, Fußbodenbelägen und Tapeten</v>
      </c>
    </row>
    <row r="1503" spans="1:8" x14ac:dyDescent="0.25">
      <c r="A1503" t="s">
        <v>863</v>
      </c>
      <c r="B1503" t="s">
        <v>1568</v>
      </c>
      <c r="G1503" t="str">
        <f t="shared" si="24"/>
        <v>47.54.0</v>
      </c>
      <c r="H1503" t="str">
        <f t="shared" si="25"/>
        <v>47.54.0 - Einzelhandel mit elektrischen Haushaltsgeräten</v>
      </c>
    </row>
    <row r="1504" spans="1:8" x14ac:dyDescent="0.25">
      <c r="A1504" t="s">
        <v>864</v>
      </c>
      <c r="B1504" t="s">
        <v>1569</v>
      </c>
      <c r="G1504" t="str">
        <f t="shared" si="24"/>
        <v>47.59.1</v>
      </c>
      <c r="H1504" t="str">
        <f t="shared" si="25"/>
        <v>47.59.1 - Einzelhandel mit Wohnmöbeln</v>
      </c>
    </row>
    <row r="1505" spans="1:8" x14ac:dyDescent="0.25">
      <c r="A1505" t="s">
        <v>864</v>
      </c>
      <c r="B1505" t="s">
        <v>1570</v>
      </c>
      <c r="G1505" t="str">
        <f t="shared" si="24"/>
        <v>47.59.2</v>
      </c>
      <c r="H1505" t="str">
        <f t="shared" si="25"/>
        <v>47.59.2 - Einzelhandel mit keramischen Erzeugnissen und Glaswaren</v>
      </c>
    </row>
    <row r="1506" spans="1:8" x14ac:dyDescent="0.25">
      <c r="A1506" t="s">
        <v>864</v>
      </c>
      <c r="B1506" t="s">
        <v>1571</v>
      </c>
      <c r="G1506" t="str">
        <f t="shared" si="24"/>
        <v>47.59.3</v>
      </c>
      <c r="H1506" t="str">
        <f t="shared" si="25"/>
        <v>47.59.3 - Einzelhandel mit Musikinstrumenten und Musikalien</v>
      </c>
    </row>
    <row r="1507" spans="1:8" x14ac:dyDescent="0.25">
      <c r="A1507" t="s">
        <v>864</v>
      </c>
      <c r="B1507" t="s">
        <v>1572</v>
      </c>
      <c r="G1507" t="str">
        <f t="shared" si="24"/>
        <v>47.59.9</v>
      </c>
      <c r="H1507" t="str">
        <f t="shared" si="25"/>
        <v>47.59.9 - Einzelhandel mit Haushaltsgegenständen a. n. g.</v>
      </c>
    </row>
    <row r="1508" spans="1:8" x14ac:dyDescent="0.25">
      <c r="A1508" t="s">
        <v>865</v>
      </c>
      <c r="B1508" t="s">
        <v>1573</v>
      </c>
      <c r="G1508" t="str">
        <f t="shared" si="24"/>
        <v>47.61.0</v>
      </c>
      <c r="H1508" t="str">
        <f t="shared" si="25"/>
        <v>47.61.0 - Einzelhandel mit Büchern</v>
      </c>
    </row>
    <row r="1509" spans="1:8" x14ac:dyDescent="0.25">
      <c r="A1509" t="s">
        <v>866</v>
      </c>
      <c r="B1509" t="s">
        <v>1574</v>
      </c>
      <c r="G1509" t="str">
        <f t="shared" si="24"/>
        <v>47.62.1</v>
      </c>
      <c r="H1509" t="str">
        <f t="shared" si="25"/>
        <v>47.62.1 - Einzelhandel mit Zeitschriften und  Zeitungen</v>
      </c>
    </row>
    <row r="1510" spans="1:8" x14ac:dyDescent="0.25">
      <c r="A1510" t="s">
        <v>866</v>
      </c>
      <c r="B1510" t="s">
        <v>1575</v>
      </c>
      <c r="G1510" t="str">
        <f t="shared" si="24"/>
        <v>47.62.2</v>
      </c>
      <c r="H1510" t="str">
        <f t="shared" si="25"/>
        <v>47.62.2 - Einzelhandel mit Schreib- und Papierwaren, Schul- und Büroartikeln</v>
      </c>
    </row>
    <row r="1511" spans="1:8" x14ac:dyDescent="0.25">
      <c r="A1511" t="s">
        <v>867</v>
      </c>
      <c r="B1511" t="s">
        <v>1576</v>
      </c>
      <c r="G1511" t="str">
        <f t="shared" ref="G1511:G1574" si="26">MID(B1511,1,7)</f>
        <v>47.63.0</v>
      </c>
      <c r="H1511" t="str">
        <f t="shared" si="25"/>
        <v>47.63.0 - Einzelhandel mit bespielten Ton- und Bildträgern</v>
      </c>
    </row>
    <row r="1512" spans="1:8" x14ac:dyDescent="0.25">
      <c r="A1512" t="s">
        <v>868</v>
      </c>
      <c r="B1512" t="s">
        <v>1577</v>
      </c>
      <c r="G1512" t="str">
        <f t="shared" si="26"/>
        <v>47.64.1</v>
      </c>
      <c r="H1512" t="str">
        <f t="shared" ref="H1512:H1575" si="27">B1512</f>
        <v>47.64.1 - Einzelhandel mit Fahrrädern, Fahrradteilen und -zubehör</v>
      </c>
    </row>
    <row r="1513" spans="1:8" x14ac:dyDescent="0.25">
      <c r="A1513" t="s">
        <v>868</v>
      </c>
      <c r="B1513" t="s">
        <v>1578</v>
      </c>
      <c r="G1513" t="str">
        <f t="shared" si="26"/>
        <v>47.64.2</v>
      </c>
      <c r="H1513" t="str">
        <f t="shared" si="27"/>
        <v>47.64.2 - Einzelhandel mit Sport- und Campingartikeln (ohne Campingmöbel)</v>
      </c>
    </row>
    <row r="1514" spans="1:8" x14ac:dyDescent="0.25">
      <c r="A1514" t="s">
        <v>869</v>
      </c>
      <c r="B1514" t="s">
        <v>1579</v>
      </c>
      <c r="G1514" t="str">
        <f t="shared" si="26"/>
        <v>47.65.0</v>
      </c>
      <c r="H1514" t="str">
        <f t="shared" si="27"/>
        <v>47.65.0 - Einzelhandel mit Spielwaren</v>
      </c>
    </row>
    <row r="1515" spans="1:8" x14ac:dyDescent="0.25">
      <c r="A1515" t="s">
        <v>870</v>
      </c>
      <c r="B1515" t="s">
        <v>1580</v>
      </c>
      <c r="G1515" t="str">
        <f t="shared" si="26"/>
        <v>47.71.0</v>
      </c>
      <c r="H1515" t="str">
        <f t="shared" si="27"/>
        <v>47.71.0 - Einzelhandel mit Bekleidung</v>
      </c>
    </row>
    <row r="1516" spans="1:8" x14ac:dyDescent="0.25">
      <c r="A1516" t="s">
        <v>871</v>
      </c>
      <c r="B1516" t="s">
        <v>1581</v>
      </c>
      <c r="G1516" t="str">
        <f t="shared" si="26"/>
        <v>47.72.1</v>
      </c>
      <c r="H1516" t="str">
        <f t="shared" si="27"/>
        <v>47.72.1 - Einzelhandel mit Schuhen</v>
      </c>
    </row>
    <row r="1517" spans="1:8" x14ac:dyDescent="0.25">
      <c r="A1517" t="s">
        <v>871</v>
      </c>
      <c r="B1517" t="s">
        <v>1582</v>
      </c>
      <c r="G1517" t="str">
        <f t="shared" si="26"/>
        <v>47.72.2</v>
      </c>
      <c r="H1517" t="str">
        <f t="shared" si="27"/>
        <v>47.72.2 - Einzelhandel mit Lederwaren und Reisegepäck</v>
      </c>
    </row>
    <row r="1518" spans="1:8" x14ac:dyDescent="0.25">
      <c r="A1518" t="s">
        <v>872</v>
      </c>
      <c r="B1518" t="s">
        <v>1583</v>
      </c>
      <c r="G1518" t="str">
        <f t="shared" si="26"/>
        <v>47.73.0</v>
      </c>
      <c r="H1518" t="str">
        <f t="shared" si="27"/>
        <v>47.73.0 - Apotheken</v>
      </c>
    </row>
    <row r="1519" spans="1:8" x14ac:dyDescent="0.25">
      <c r="A1519" t="s">
        <v>873</v>
      </c>
      <c r="B1519" t="s">
        <v>1584</v>
      </c>
      <c r="G1519" t="str">
        <f t="shared" si="26"/>
        <v>47.74.0</v>
      </c>
      <c r="H1519" t="str">
        <f t="shared" si="27"/>
        <v>47.74.0 - Einzelhandel mit medizinischen und orthopädischen Artikeln</v>
      </c>
    </row>
    <row r="1520" spans="1:8" x14ac:dyDescent="0.25">
      <c r="A1520" t="s">
        <v>874</v>
      </c>
      <c r="B1520" t="s">
        <v>1585</v>
      </c>
      <c r="G1520" t="str">
        <f t="shared" si="26"/>
        <v>47.75.0</v>
      </c>
      <c r="H1520" t="str">
        <f t="shared" si="27"/>
        <v>47.75.0 - Einzelhandel mit kosmetischen Erzeugnissen und Körperpflegemitteln</v>
      </c>
    </row>
    <row r="1521" spans="1:8" x14ac:dyDescent="0.25">
      <c r="A1521" t="s">
        <v>875</v>
      </c>
      <c r="B1521" t="s">
        <v>1586</v>
      </c>
      <c r="G1521" t="str">
        <f t="shared" si="26"/>
        <v>47.76.1</v>
      </c>
      <c r="H1521" t="str">
        <f t="shared" si="27"/>
        <v>47.76.1 - Einzelhandel mit Blumen, Pflanzen, Sämereien und Düngemitteln</v>
      </c>
    </row>
    <row r="1522" spans="1:8" x14ac:dyDescent="0.25">
      <c r="A1522" t="s">
        <v>875</v>
      </c>
      <c r="B1522" t="s">
        <v>1587</v>
      </c>
      <c r="G1522" t="str">
        <f t="shared" si="26"/>
        <v>47.76.2</v>
      </c>
      <c r="H1522" t="str">
        <f t="shared" si="27"/>
        <v>47.76.2 - Einzelhandel mit zoologischem Bedarf und lebenden Tieren</v>
      </c>
    </row>
    <row r="1523" spans="1:8" x14ac:dyDescent="0.25">
      <c r="A1523" t="s">
        <v>876</v>
      </c>
      <c r="B1523" t="s">
        <v>1588</v>
      </c>
      <c r="G1523" t="str">
        <f t="shared" si="26"/>
        <v>47.77.0</v>
      </c>
      <c r="H1523" t="str">
        <f t="shared" si="27"/>
        <v>47.77.0 - Einzelhandel mit Uhren und Schmuck</v>
      </c>
    </row>
    <row r="1524" spans="1:8" x14ac:dyDescent="0.25">
      <c r="A1524" t="s">
        <v>877</v>
      </c>
      <c r="B1524" t="s">
        <v>1589</v>
      </c>
      <c r="G1524" t="str">
        <f t="shared" si="26"/>
        <v>47.78.1</v>
      </c>
      <c r="H1524" t="str">
        <f t="shared" si="27"/>
        <v>47.78.1 - Augenoptiker</v>
      </c>
    </row>
    <row r="1525" spans="1:8" x14ac:dyDescent="0.25">
      <c r="A1525" t="s">
        <v>877</v>
      </c>
      <c r="B1525" t="s">
        <v>1590</v>
      </c>
      <c r="G1525" t="str">
        <f t="shared" si="26"/>
        <v>47.78.2</v>
      </c>
      <c r="H1525" t="str">
        <f t="shared" si="27"/>
        <v>47.78.2 - Einzelhandel mit Foto- und optischen Erzeugnissen (ohne Augenoptiker)</v>
      </c>
    </row>
    <row r="1526" spans="1:8" x14ac:dyDescent="0.25">
      <c r="A1526" t="s">
        <v>877</v>
      </c>
      <c r="B1526" t="s">
        <v>1591</v>
      </c>
      <c r="G1526" t="str">
        <f t="shared" si="26"/>
        <v>47.78.3</v>
      </c>
      <c r="H1526" t="str">
        <f t="shared" si="27"/>
        <v>47.78.3 - Einzelhandel mit Kunstgegenständen, Bildern, kunstgewerblichen Erzeugnissen, Briefmarken, Münzen und Geschenkartikeln</v>
      </c>
    </row>
    <row r="1527" spans="1:8" x14ac:dyDescent="0.25">
      <c r="A1527" t="s">
        <v>877</v>
      </c>
      <c r="B1527" t="s">
        <v>1592</v>
      </c>
      <c r="G1527" t="str">
        <f t="shared" si="26"/>
        <v>47.78.9</v>
      </c>
      <c r="H1527" t="str">
        <f t="shared" si="27"/>
        <v>47.78.9 - Sonstiger Einzelhandel a. n. g. (in Verkaufsräumen)</v>
      </c>
    </row>
    <row r="1528" spans="1:8" x14ac:dyDescent="0.25">
      <c r="A1528" t="s">
        <v>878</v>
      </c>
      <c r="B1528" t="s">
        <v>1593</v>
      </c>
      <c r="G1528" t="str">
        <f t="shared" si="26"/>
        <v>47.79.1</v>
      </c>
      <c r="H1528" t="str">
        <f t="shared" si="27"/>
        <v>47.79.1 - Einzelhandel mit Antiquitäten und antiken Teppichen</v>
      </c>
    </row>
    <row r="1529" spans="1:8" x14ac:dyDescent="0.25">
      <c r="A1529" t="s">
        <v>878</v>
      </c>
      <c r="B1529" t="s">
        <v>1594</v>
      </c>
      <c r="G1529" t="str">
        <f t="shared" si="26"/>
        <v>47.79.2</v>
      </c>
      <c r="H1529" t="str">
        <f t="shared" si="27"/>
        <v>47.79.2 - Antiquariate</v>
      </c>
    </row>
    <row r="1530" spans="1:8" x14ac:dyDescent="0.25">
      <c r="A1530" t="s">
        <v>878</v>
      </c>
      <c r="B1530" t="s">
        <v>1595</v>
      </c>
      <c r="G1530" t="str">
        <f t="shared" si="26"/>
        <v>47.79.9</v>
      </c>
      <c r="H1530" t="str">
        <f t="shared" si="27"/>
        <v>47.79.9 - Einzelhandel mit sonstigen Gebrauchtwaren</v>
      </c>
    </row>
    <row r="1531" spans="1:8" x14ac:dyDescent="0.25">
      <c r="A1531" t="s">
        <v>879</v>
      </c>
      <c r="B1531" t="s">
        <v>1596</v>
      </c>
      <c r="G1531" t="str">
        <f t="shared" si="26"/>
        <v>47.81.0</v>
      </c>
      <c r="H1531" t="str">
        <f t="shared" si="27"/>
        <v>47.81.0 - Einzelhandel mit Nahrungs- und Genussmitteln, Getränken und Tabakwaren an Verkaufsständen und auf Märkten</v>
      </c>
    </row>
    <row r="1532" spans="1:8" x14ac:dyDescent="0.25">
      <c r="A1532" t="s">
        <v>880</v>
      </c>
      <c r="B1532" t="s">
        <v>1597</v>
      </c>
      <c r="G1532" t="str">
        <f t="shared" si="26"/>
        <v>47.82.0</v>
      </c>
      <c r="H1532" t="str">
        <f t="shared" si="27"/>
        <v>47.82.0 - Einzelhandel mit Textilien, Bekleidung und Schuhen an Verkaufsständen und auf Märkten</v>
      </c>
    </row>
    <row r="1533" spans="1:8" x14ac:dyDescent="0.25">
      <c r="A1533" t="s">
        <v>881</v>
      </c>
      <c r="B1533" t="s">
        <v>1598</v>
      </c>
      <c r="G1533" t="str">
        <f t="shared" si="26"/>
        <v>47.89.0</v>
      </c>
      <c r="H1533" t="str">
        <f t="shared" si="27"/>
        <v>47.89.0 - Einzelhandel mit sonstigen Gütern an Verkaufsständen und auf Märkten</v>
      </c>
    </row>
    <row r="1534" spans="1:8" x14ac:dyDescent="0.25">
      <c r="A1534" t="s">
        <v>882</v>
      </c>
      <c r="B1534" t="s">
        <v>1599</v>
      </c>
      <c r="G1534" t="str">
        <f t="shared" si="26"/>
        <v>47.91.1</v>
      </c>
      <c r="H1534" t="str">
        <f t="shared" si="27"/>
        <v>47.91.1 - Versand- und Internet-Einzelhandel mit Textilien, Bekleidung, Schuhen und Lederwaren</v>
      </c>
    </row>
    <row r="1535" spans="1:8" x14ac:dyDescent="0.25">
      <c r="A1535" t="s">
        <v>882</v>
      </c>
      <c r="B1535" t="s">
        <v>1600</v>
      </c>
      <c r="G1535" t="str">
        <f t="shared" si="26"/>
        <v>47.91.9</v>
      </c>
      <c r="H1535" t="str">
        <f t="shared" si="27"/>
        <v>47.91.9 - Sonstiger Versand- und Internet-Einzelhandel</v>
      </c>
    </row>
    <row r="1536" spans="1:8" x14ac:dyDescent="0.25">
      <c r="A1536" t="s">
        <v>883</v>
      </c>
      <c r="B1536" t="s">
        <v>1601</v>
      </c>
      <c r="G1536" t="str">
        <f t="shared" si="26"/>
        <v>47.99.1</v>
      </c>
      <c r="H1536" t="str">
        <f t="shared" si="27"/>
        <v>47.99.1 - Einzelhandel vom Lager mit Brennstoffen</v>
      </c>
    </row>
    <row r="1537" spans="1:8" x14ac:dyDescent="0.25">
      <c r="A1537" t="s">
        <v>883</v>
      </c>
      <c r="B1537" t="s">
        <v>1602</v>
      </c>
      <c r="G1537" t="str">
        <f t="shared" si="26"/>
        <v>47.99.9</v>
      </c>
      <c r="H1537" t="str">
        <f t="shared" si="27"/>
        <v>47.99.9 - Sonstiger Einzelhandel a. n. g. (nicht in Verkaufsräumen)</v>
      </c>
    </row>
    <row r="1538" spans="1:8" x14ac:dyDescent="0.25">
      <c r="A1538" t="s">
        <v>884</v>
      </c>
      <c r="B1538" t="s">
        <v>1603</v>
      </c>
      <c r="G1538" t="str">
        <f t="shared" si="26"/>
        <v>49.10.0</v>
      </c>
      <c r="H1538" t="str">
        <f t="shared" si="27"/>
        <v>49.10.0 - Personenbeförderung im Eisenbahnfernverkehr</v>
      </c>
    </row>
    <row r="1539" spans="1:8" x14ac:dyDescent="0.25">
      <c r="A1539" t="s">
        <v>885</v>
      </c>
      <c r="B1539" t="s">
        <v>1604</v>
      </c>
      <c r="G1539" t="str">
        <f t="shared" si="26"/>
        <v>49.20.0</v>
      </c>
      <c r="H1539" t="str">
        <f t="shared" si="27"/>
        <v>49.20.0 - Güterbeförderung im Eisenbahnverkehr</v>
      </c>
    </row>
    <row r="1540" spans="1:8" x14ac:dyDescent="0.25">
      <c r="A1540" t="s">
        <v>886</v>
      </c>
      <c r="B1540" t="s">
        <v>1605</v>
      </c>
      <c r="G1540" t="str">
        <f t="shared" si="26"/>
        <v>49.31.0</v>
      </c>
      <c r="H1540" t="str">
        <f t="shared" si="27"/>
        <v>49.31.0 - Personenbeförderung im Nahverkehr zu Lande (ohne Taxis)</v>
      </c>
    </row>
    <row r="1541" spans="1:8" x14ac:dyDescent="0.25">
      <c r="A1541" t="s">
        <v>887</v>
      </c>
      <c r="B1541" t="s">
        <v>1606</v>
      </c>
      <c r="G1541" t="str">
        <f t="shared" si="26"/>
        <v>49.32.0</v>
      </c>
      <c r="H1541" t="str">
        <f t="shared" si="27"/>
        <v>49.32.0 - Betrieb von Taxis</v>
      </c>
    </row>
    <row r="1542" spans="1:8" x14ac:dyDescent="0.25">
      <c r="A1542" t="s">
        <v>888</v>
      </c>
      <c r="B1542" t="s">
        <v>1607</v>
      </c>
      <c r="G1542" t="str">
        <f t="shared" si="26"/>
        <v>49.39.1</v>
      </c>
      <c r="H1542" t="str">
        <f t="shared" si="27"/>
        <v>49.39.1 - Personenbeförderung im Omnibus-Linienfernverkehr</v>
      </c>
    </row>
    <row r="1543" spans="1:8" x14ac:dyDescent="0.25">
      <c r="A1543" t="s">
        <v>888</v>
      </c>
      <c r="B1543" t="s">
        <v>1608</v>
      </c>
      <c r="G1543" t="str">
        <f t="shared" si="26"/>
        <v>49.39.2</v>
      </c>
      <c r="H1543" t="str">
        <f t="shared" si="27"/>
        <v>49.39.2 - Personenbeförderung im Omnibus-Gelegenheitsverkehr</v>
      </c>
    </row>
    <row r="1544" spans="1:8" x14ac:dyDescent="0.25">
      <c r="A1544" t="s">
        <v>888</v>
      </c>
      <c r="B1544" t="s">
        <v>1609</v>
      </c>
      <c r="G1544" t="str">
        <f t="shared" si="26"/>
        <v>49.39.9</v>
      </c>
      <c r="H1544" t="str">
        <f t="shared" si="27"/>
        <v>49.39.9 - Personenbeförderung im Landverkehr a. n. g.</v>
      </c>
    </row>
    <row r="1545" spans="1:8" x14ac:dyDescent="0.25">
      <c r="A1545" t="s">
        <v>889</v>
      </c>
      <c r="B1545" t="s">
        <v>1610</v>
      </c>
      <c r="G1545" t="str">
        <f t="shared" si="26"/>
        <v>49.41.0</v>
      </c>
      <c r="H1545" t="str">
        <f t="shared" si="27"/>
        <v>49.41.0 - Güterbeförderung im Straßenverkehr</v>
      </c>
    </row>
    <row r="1546" spans="1:8" x14ac:dyDescent="0.25">
      <c r="A1546" t="s">
        <v>890</v>
      </c>
      <c r="B1546" t="s">
        <v>1611</v>
      </c>
      <c r="G1546" t="str">
        <f t="shared" si="26"/>
        <v>49.42.0</v>
      </c>
      <c r="H1546" t="str">
        <f t="shared" si="27"/>
        <v>49.42.0 - Umzugstransporte</v>
      </c>
    </row>
    <row r="1547" spans="1:8" x14ac:dyDescent="0.25">
      <c r="A1547" t="s">
        <v>891</v>
      </c>
      <c r="B1547" t="s">
        <v>1612</v>
      </c>
      <c r="G1547" t="str">
        <f t="shared" si="26"/>
        <v>49.50.0</v>
      </c>
      <c r="H1547" t="str">
        <f t="shared" si="27"/>
        <v>49.50.0 - Transport in Rohrfernleitungen</v>
      </c>
    </row>
    <row r="1548" spans="1:8" x14ac:dyDescent="0.25">
      <c r="A1548" t="s">
        <v>892</v>
      </c>
      <c r="B1548" t="s">
        <v>1613</v>
      </c>
      <c r="G1548" t="str">
        <f t="shared" si="26"/>
        <v>50.10.0</v>
      </c>
      <c r="H1548" t="str">
        <f t="shared" si="27"/>
        <v>50.10.0 - Personenbeförderung in der See- und Küstenschifffahrt</v>
      </c>
    </row>
    <row r="1549" spans="1:8" x14ac:dyDescent="0.25">
      <c r="A1549" t="s">
        <v>893</v>
      </c>
      <c r="B1549" t="s">
        <v>1614</v>
      </c>
      <c r="G1549" t="str">
        <f t="shared" si="26"/>
        <v>50.20.0</v>
      </c>
      <c r="H1549" t="str">
        <f t="shared" si="27"/>
        <v>50.20.0 - Güterbeförderung in der See- und Küstenschifffahrt</v>
      </c>
    </row>
    <row r="1550" spans="1:8" x14ac:dyDescent="0.25">
      <c r="A1550" t="s">
        <v>894</v>
      </c>
      <c r="B1550" t="s">
        <v>1615</v>
      </c>
      <c r="G1550" t="str">
        <f t="shared" si="26"/>
        <v>50.30.0</v>
      </c>
      <c r="H1550" t="str">
        <f t="shared" si="27"/>
        <v>50.30.0 - Personenbeförderung in der Binnenschifffahrt</v>
      </c>
    </row>
    <row r="1551" spans="1:8" x14ac:dyDescent="0.25">
      <c r="A1551" t="s">
        <v>895</v>
      </c>
      <c r="B1551" t="s">
        <v>1616</v>
      </c>
      <c r="G1551" t="str">
        <f t="shared" si="26"/>
        <v>50.40.0</v>
      </c>
      <c r="H1551" t="str">
        <f t="shared" si="27"/>
        <v>50.40.0 - Güterbeförderung in der Binnenschifffahrt</v>
      </c>
    </row>
    <row r="1552" spans="1:8" x14ac:dyDescent="0.25">
      <c r="A1552" t="s">
        <v>896</v>
      </c>
      <c r="B1552" t="s">
        <v>1617</v>
      </c>
      <c r="G1552" t="str">
        <f t="shared" si="26"/>
        <v>51.10.0</v>
      </c>
      <c r="H1552" t="str">
        <f t="shared" si="27"/>
        <v>51.10.0 - Personenbeförderung in der Luftfahrt</v>
      </c>
    </row>
    <row r="1553" spans="1:8" x14ac:dyDescent="0.25">
      <c r="A1553" t="s">
        <v>897</v>
      </c>
      <c r="B1553" t="s">
        <v>1618</v>
      </c>
      <c r="G1553" t="str">
        <f t="shared" si="26"/>
        <v>51.21.0</v>
      </c>
      <c r="H1553" t="str">
        <f t="shared" si="27"/>
        <v>51.21.0 - Güterbeförderung in der Luftfahrt</v>
      </c>
    </row>
    <row r="1554" spans="1:8" x14ac:dyDescent="0.25">
      <c r="A1554" t="s">
        <v>898</v>
      </c>
      <c r="B1554" t="s">
        <v>1619</v>
      </c>
      <c r="G1554" t="str">
        <f t="shared" si="26"/>
        <v>51.22.0</v>
      </c>
      <c r="H1554" t="str">
        <f t="shared" si="27"/>
        <v>51.22.0 - Raumtransport</v>
      </c>
    </row>
    <row r="1555" spans="1:8" x14ac:dyDescent="0.25">
      <c r="A1555" t="s">
        <v>899</v>
      </c>
      <c r="B1555" t="s">
        <v>1620</v>
      </c>
      <c r="G1555" t="str">
        <f t="shared" si="26"/>
        <v>52.10.0</v>
      </c>
      <c r="H1555" t="str">
        <f t="shared" si="27"/>
        <v>52.10.0 - Lagerei</v>
      </c>
    </row>
    <row r="1556" spans="1:8" x14ac:dyDescent="0.25">
      <c r="A1556" t="s">
        <v>900</v>
      </c>
      <c r="B1556" t="s">
        <v>1621</v>
      </c>
      <c r="G1556" t="str">
        <f t="shared" si="26"/>
        <v>52.21.1</v>
      </c>
      <c r="H1556" t="str">
        <f t="shared" si="27"/>
        <v>52.21.1 - Betrieb von Parkhäusern und Parkplätzen</v>
      </c>
    </row>
    <row r="1557" spans="1:8" x14ac:dyDescent="0.25">
      <c r="A1557" t="s">
        <v>900</v>
      </c>
      <c r="B1557" t="s">
        <v>1622</v>
      </c>
      <c r="G1557" t="str">
        <f t="shared" si="26"/>
        <v>52.21.2</v>
      </c>
      <c r="H1557" t="str">
        <f t="shared" si="27"/>
        <v>52.21.2 - Betrieb von Verkehrswegen für Straßenfahrzeuge</v>
      </c>
    </row>
    <row r="1558" spans="1:8" x14ac:dyDescent="0.25">
      <c r="A1558" t="s">
        <v>900</v>
      </c>
      <c r="B1558" t="s">
        <v>1623</v>
      </c>
      <c r="G1558" t="str">
        <f t="shared" si="26"/>
        <v>52.21.3</v>
      </c>
      <c r="H1558" t="str">
        <f t="shared" si="27"/>
        <v>52.21.3 - Betrieb von Verkehrswegen für Schienenfahrzeuge</v>
      </c>
    </row>
    <row r="1559" spans="1:8" x14ac:dyDescent="0.25">
      <c r="A1559" t="s">
        <v>900</v>
      </c>
      <c r="B1559" t="s">
        <v>1624</v>
      </c>
      <c r="G1559" t="str">
        <f t="shared" si="26"/>
        <v>52.21.4</v>
      </c>
      <c r="H1559" t="str">
        <f t="shared" si="27"/>
        <v>52.21.4 - Betrieb von Bahnhöfen für den Personenverkehr einschließlich Omnibusbahnhöfe</v>
      </c>
    </row>
    <row r="1560" spans="1:8" x14ac:dyDescent="0.25">
      <c r="A1560" t="s">
        <v>900</v>
      </c>
      <c r="B1560" t="s">
        <v>1625</v>
      </c>
      <c r="G1560" t="str">
        <f t="shared" si="26"/>
        <v>52.21.5</v>
      </c>
      <c r="H1560" t="str">
        <f t="shared" si="27"/>
        <v>52.21.5 - Betrieb von Güterabfertigungseinrichtungen für Schienen- und Straßenfahrzeuge (ohne Frachtumschlag)</v>
      </c>
    </row>
    <row r="1561" spans="1:8" x14ac:dyDescent="0.25">
      <c r="A1561" t="s">
        <v>900</v>
      </c>
      <c r="B1561" t="s">
        <v>1626</v>
      </c>
      <c r="G1561" t="str">
        <f t="shared" si="26"/>
        <v>52.21.9</v>
      </c>
      <c r="H1561" t="str">
        <f t="shared" si="27"/>
        <v>52.21.9 - Erbringung von sonstigen Dienstleistungen für den Landverkehr a. n. g.</v>
      </c>
    </row>
    <row r="1562" spans="1:8" x14ac:dyDescent="0.25">
      <c r="A1562" t="s">
        <v>901</v>
      </c>
      <c r="B1562" t="s">
        <v>1627</v>
      </c>
      <c r="G1562" t="str">
        <f t="shared" si="26"/>
        <v>52.22.1</v>
      </c>
      <c r="H1562" t="str">
        <f t="shared" si="27"/>
        <v>52.22.1 - Betrieb von Wasserstraßen</v>
      </c>
    </row>
    <row r="1563" spans="1:8" x14ac:dyDescent="0.25">
      <c r="A1563" t="s">
        <v>901</v>
      </c>
      <c r="B1563" t="s">
        <v>1628</v>
      </c>
      <c r="G1563" t="str">
        <f t="shared" si="26"/>
        <v>52.22.2</v>
      </c>
      <c r="H1563" t="str">
        <f t="shared" si="27"/>
        <v>52.22.2 - Betrieb von Häfen</v>
      </c>
    </row>
    <row r="1564" spans="1:8" x14ac:dyDescent="0.25">
      <c r="A1564" t="s">
        <v>901</v>
      </c>
      <c r="B1564" t="s">
        <v>1629</v>
      </c>
      <c r="G1564" t="str">
        <f t="shared" si="26"/>
        <v>52.22.3</v>
      </c>
      <c r="H1564" t="str">
        <f t="shared" si="27"/>
        <v>52.22.3 - Lotsinnen und Lotsen in der Schifffahrt</v>
      </c>
    </row>
    <row r="1565" spans="1:8" x14ac:dyDescent="0.25">
      <c r="A1565" t="s">
        <v>901</v>
      </c>
      <c r="B1565" t="s">
        <v>1630</v>
      </c>
      <c r="G1565" t="str">
        <f t="shared" si="26"/>
        <v>52.22.9</v>
      </c>
      <c r="H1565" t="str">
        <f t="shared" si="27"/>
        <v>52.22.9 - Erbringung von sonstigen Dienstleistungen für die Schifffahrt a. n. g.</v>
      </c>
    </row>
    <row r="1566" spans="1:8" x14ac:dyDescent="0.25">
      <c r="A1566" t="s">
        <v>902</v>
      </c>
      <c r="B1566" t="s">
        <v>1631</v>
      </c>
      <c r="G1566" t="str">
        <f t="shared" si="26"/>
        <v>52.23.1</v>
      </c>
      <c r="H1566" t="str">
        <f t="shared" si="27"/>
        <v>52.23.1 - Betrieb von Flughäfen und Landeplätzen für Luftfahrzeuge</v>
      </c>
    </row>
    <row r="1567" spans="1:8" x14ac:dyDescent="0.25">
      <c r="A1567" t="s">
        <v>902</v>
      </c>
      <c r="B1567" t="s">
        <v>1632</v>
      </c>
      <c r="G1567" t="str">
        <f t="shared" si="26"/>
        <v>52.23.9</v>
      </c>
      <c r="H1567" t="str">
        <f t="shared" si="27"/>
        <v>52.23.9 - Erbringung von sonstigen Dienstleistungen für die Luftfahrt a. n. g.</v>
      </c>
    </row>
    <row r="1568" spans="1:8" x14ac:dyDescent="0.25">
      <c r="A1568" t="s">
        <v>903</v>
      </c>
      <c r="B1568" t="s">
        <v>1633</v>
      </c>
      <c r="G1568" t="str">
        <f t="shared" si="26"/>
        <v>52.24.0</v>
      </c>
      <c r="H1568" t="str">
        <f t="shared" si="27"/>
        <v>52.24.0 - Frachtumschlag</v>
      </c>
    </row>
    <row r="1569" spans="1:8" x14ac:dyDescent="0.25">
      <c r="A1569" t="s">
        <v>904</v>
      </c>
      <c r="B1569" t="s">
        <v>1634</v>
      </c>
      <c r="G1569" t="str">
        <f t="shared" si="26"/>
        <v>52.29.1</v>
      </c>
      <c r="H1569" t="str">
        <f t="shared" si="27"/>
        <v>52.29.1 - Spedition</v>
      </c>
    </row>
    <row r="1570" spans="1:8" x14ac:dyDescent="0.25">
      <c r="A1570" t="s">
        <v>904</v>
      </c>
      <c r="B1570" t="s">
        <v>1635</v>
      </c>
      <c r="G1570" t="str">
        <f t="shared" si="26"/>
        <v>52.29.2</v>
      </c>
      <c r="H1570" t="str">
        <f t="shared" si="27"/>
        <v>52.29.2 - Schiffsmaklerbüros und -agenturen</v>
      </c>
    </row>
    <row r="1571" spans="1:8" x14ac:dyDescent="0.25">
      <c r="A1571" t="s">
        <v>904</v>
      </c>
      <c r="B1571" t="s">
        <v>1636</v>
      </c>
      <c r="G1571" t="str">
        <f t="shared" si="26"/>
        <v>52.29.9</v>
      </c>
      <c r="H1571" t="str">
        <f t="shared" si="27"/>
        <v>52.29.9 - Erbringung von Dienstleistungen für den Verkehr a. n. g.</v>
      </c>
    </row>
    <row r="1572" spans="1:8" x14ac:dyDescent="0.25">
      <c r="A1572" t="s">
        <v>905</v>
      </c>
      <c r="B1572" t="s">
        <v>1637</v>
      </c>
      <c r="G1572" t="str">
        <f t="shared" si="26"/>
        <v>53.10.0</v>
      </c>
      <c r="H1572" t="str">
        <f t="shared" si="27"/>
        <v>53.10.0 - Postdienste von Universaldienstleistungsanbietern</v>
      </c>
    </row>
    <row r="1573" spans="1:8" x14ac:dyDescent="0.25">
      <c r="A1573" t="s">
        <v>906</v>
      </c>
      <c r="B1573" t="s">
        <v>1638</v>
      </c>
      <c r="G1573" t="str">
        <f t="shared" si="26"/>
        <v>53.20.0</v>
      </c>
      <c r="H1573" t="str">
        <f t="shared" si="27"/>
        <v>53.20.0 - Sonstige Post-, Kurier- und Expressdienste</v>
      </c>
    </row>
    <row r="1574" spans="1:8" x14ac:dyDescent="0.25">
      <c r="A1574" t="s">
        <v>907</v>
      </c>
      <c r="B1574" t="s">
        <v>1639</v>
      </c>
      <c r="G1574" t="str">
        <f t="shared" si="26"/>
        <v>55.10.1</v>
      </c>
      <c r="H1574" t="str">
        <f t="shared" si="27"/>
        <v>55.10.1 - Hotels (ohne Hotels garnis)</v>
      </c>
    </row>
    <row r="1575" spans="1:8" x14ac:dyDescent="0.25">
      <c r="A1575" t="s">
        <v>907</v>
      </c>
      <c r="B1575" t="s">
        <v>1640</v>
      </c>
      <c r="G1575" t="str">
        <f t="shared" ref="G1575:G1638" si="28">MID(B1575,1,7)</f>
        <v>55.10.2</v>
      </c>
      <c r="H1575" t="str">
        <f t="shared" si="27"/>
        <v>55.10.2 - Hotels garnis</v>
      </c>
    </row>
    <row r="1576" spans="1:8" x14ac:dyDescent="0.25">
      <c r="A1576" t="s">
        <v>907</v>
      </c>
      <c r="B1576" t="s">
        <v>1641</v>
      </c>
      <c r="G1576" t="str">
        <f t="shared" si="28"/>
        <v>55.10.3</v>
      </c>
      <c r="H1576" t="str">
        <f t="shared" ref="H1576:H1639" si="29">B1576</f>
        <v>55.10.3 - Gasthöfe</v>
      </c>
    </row>
    <row r="1577" spans="1:8" x14ac:dyDescent="0.25">
      <c r="A1577" t="s">
        <v>907</v>
      </c>
      <c r="B1577" t="s">
        <v>1642</v>
      </c>
      <c r="G1577" t="str">
        <f t="shared" si="28"/>
        <v>55.10.4</v>
      </c>
      <c r="H1577" t="str">
        <f t="shared" si="29"/>
        <v>55.10.4 - Pensionen</v>
      </c>
    </row>
    <row r="1578" spans="1:8" x14ac:dyDescent="0.25">
      <c r="A1578" t="s">
        <v>908</v>
      </c>
      <c r="B1578" t="s">
        <v>1643</v>
      </c>
      <c r="G1578" t="str">
        <f t="shared" si="28"/>
        <v>55.20.1</v>
      </c>
      <c r="H1578" t="str">
        <f t="shared" si="29"/>
        <v>55.20.1 - Erholungs- und Ferienheime</v>
      </c>
    </row>
    <row r="1579" spans="1:8" x14ac:dyDescent="0.25">
      <c r="A1579" t="s">
        <v>908</v>
      </c>
      <c r="B1579" t="s">
        <v>1644</v>
      </c>
      <c r="G1579" t="str">
        <f t="shared" si="28"/>
        <v>55.20.2</v>
      </c>
      <c r="H1579" t="str">
        <f t="shared" si="29"/>
        <v>55.20.2 - Ferienzentren</v>
      </c>
    </row>
    <row r="1580" spans="1:8" x14ac:dyDescent="0.25">
      <c r="A1580" t="s">
        <v>908</v>
      </c>
      <c r="B1580" t="s">
        <v>1645</v>
      </c>
      <c r="G1580" t="str">
        <f t="shared" si="28"/>
        <v>55.20.3</v>
      </c>
      <c r="H1580" t="str">
        <f t="shared" si="29"/>
        <v>55.20.3 - Ferienhäuser und Ferienwohnungen</v>
      </c>
    </row>
    <row r="1581" spans="1:8" x14ac:dyDescent="0.25">
      <c r="A1581" t="s">
        <v>908</v>
      </c>
      <c r="B1581" t="s">
        <v>1646</v>
      </c>
      <c r="G1581" t="str">
        <f t="shared" si="28"/>
        <v>55.20.4</v>
      </c>
      <c r="H1581" t="str">
        <f t="shared" si="29"/>
        <v>55.20.4 - Jugendherbergen und Hütten</v>
      </c>
    </row>
    <row r="1582" spans="1:8" x14ac:dyDescent="0.25">
      <c r="A1582" t="s">
        <v>909</v>
      </c>
      <c r="B1582" t="s">
        <v>1647</v>
      </c>
      <c r="G1582" t="str">
        <f t="shared" si="28"/>
        <v>55.30.0</v>
      </c>
      <c r="H1582" t="str">
        <f t="shared" si="29"/>
        <v>55.30.0 - Campingplätze</v>
      </c>
    </row>
    <row r="1583" spans="1:8" x14ac:dyDescent="0.25">
      <c r="A1583" t="s">
        <v>910</v>
      </c>
      <c r="B1583" t="s">
        <v>1648</v>
      </c>
      <c r="G1583" t="str">
        <f t="shared" si="28"/>
        <v>55.90.1</v>
      </c>
      <c r="H1583" t="str">
        <f t="shared" si="29"/>
        <v>55.90.1 - Privatquartiere</v>
      </c>
    </row>
    <row r="1584" spans="1:8" x14ac:dyDescent="0.25">
      <c r="A1584" t="s">
        <v>910</v>
      </c>
      <c r="B1584" t="s">
        <v>1649</v>
      </c>
      <c r="G1584" t="str">
        <f t="shared" si="28"/>
        <v>55.90.9</v>
      </c>
      <c r="H1584" t="str">
        <f t="shared" si="29"/>
        <v>55.90.9 - Sonstige Beherbergungsstätten a. n. g.</v>
      </c>
    </row>
    <row r="1585" spans="1:8" x14ac:dyDescent="0.25">
      <c r="A1585" t="s">
        <v>911</v>
      </c>
      <c r="B1585" t="s">
        <v>1650</v>
      </c>
      <c r="G1585" t="str">
        <f t="shared" si="28"/>
        <v>56.10.1</v>
      </c>
      <c r="H1585" t="str">
        <f t="shared" si="29"/>
        <v>56.10.1 - Restaurants mit herkömmlicher Bedienung</v>
      </c>
    </row>
    <row r="1586" spans="1:8" x14ac:dyDescent="0.25">
      <c r="A1586" t="s">
        <v>911</v>
      </c>
      <c r="B1586" t="s">
        <v>1651</v>
      </c>
      <c r="G1586" t="str">
        <f t="shared" si="28"/>
        <v>56.10.2</v>
      </c>
      <c r="H1586" t="str">
        <f t="shared" si="29"/>
        <v>56.10.2 - Restaurants mit Selbstbedienung</v>
      </c>
    </row>
    <row r="1587" spans="1:8" x14ac:dyDescent="0.25">
      <c r="A1587" t="s">
        <v>911</v>
      </c>
      <c r="B1587" t="s">
        <v>1652</v>
      </c>
      <c r="G1587" t="str">
        <f t="shared" si="28"/>
        <v>56.10.3</v>
      </c>
      <c r="H1587" t="str">
        <f t="shared" si="29"/>
        <v>56.10.3 - Imbissstuben u. Ä.</v>
      </c>
    </row>
    <row r="1588" spans="1:8" x14ac:dyDescent="0.25">
      <c r="A1588" t="s">
        <v>911</v>
      </c>
      <c r="B1588" t="s">
        <v>1653</v>
      </c>
      <c r="G1588" t="str">
        <f t="shared" si="28"/>
        <v>56.10.4</v>
      </c>
      <c r="H1588" t="str">
        <f t="shared" si="29"/>
        <v>56.10.4 - Cafés</v>
      </c>
    </row>
    <row r="1589" spans="1:8" x14ac:dyDescent="0.25">
      <c r="A1589" t="s">
        <v>911</v>
      </c>
      <c r="B1589" t="s">
        <v>1654</v>
      </c>
      <c r="G1589" t="str">
        <f t="shared" si="28"/>
        <v>56.10.5</v>
      </c>
      <c r="H1589" t="str">
        <f t="shared" si="29"/>
        <v>56.10.5 - Eissalons</v>
      </c>
    </row>
    <row r="1590" spans="1:8" x14ac:dyDescent="0.25">
      <c r="A1590" t="s">
        <v>912</v>
      </c>
      <c r="B1590" t="s">
        <v>1655</v>
      </c>
      <c r="G1590" t="str">
        <f t="shared" si="28"/>
        <v>56.21.0</v>
      </c>
      <c r="H1590" t="str">
        <f t="shared" si="29"/>
        <v>56.21.0 - Event-Caterer</v>
      </c>
    </row>
    <row r="1591" spans="1:8" x14ac:dyDescent="0.25">
      <c r="A1591" t="s">
        <v>913</v>
      </c>
      <c r="B1591" t="s">
        <v>1656</v>
      </c>
      <c r="G1591" t="str">
        <f t="shared" si="28"/>
        <v>56.29.0</v>
      </c>
      <c r="H1591" t="str">
        <f t="shared" si="29"/>
        <v>56.29.0 - Erbringung sonstiger Verpflegungsdienstleistungen</v>
      </c>
    </row>
    <row r="1592" spans="1:8" x14ac:dyDescent="0.25">
      <c r="A1592" t="s">
        <v>914</v>
      </c>
      <c r="B1592" t="s">
        <v>1657</v>
      </c>
      <c r="G1592" t="str">
        <f t="shared" si="28"/>
        <v>56.30.1</v>
      </c>
      <c r="H1592" t="str">
        <f t="shared" si="29"/>
        <v>56.30.1 - Schankwirtschaften</v>
      </c>
    </row>
    <row r="1593" spans="1:8" x14ac:dyDescent="0.25">
      <c r="A1593" t="s">
        <v>914</v>
      </c>
      <c r="B1593" t="s">
        <v>1658</v>
      </c>
      <c r="G1593" t="str">
        <f t="shared" si="28"/>
        <v>56.30.2</v>
      </c>
      <c r="H1593" t="str">
        <f t="shared" si="29"/>
        <v>56.30.2 - Diskotheken und Tanzlokale</v>
      </c>
    </row>
    <row r="1594" spans="1:8" x14ac:dyDescent="0.25">
      <c r="A1594" t="s">
        <v>914</v>
      </c>
      <c r="B1594" t="s">
        <v>1659</v>
      </c>
      <c r="G1594" t="str">
        <f t="shared" si="28"/>
        <v>56.30.3</v>
      </c>
      <c r="H1594" t="str">
        <f t="shared" si="29"/>
        <v>56.30.3 - Bars</v>
      </c>
    </row>
    <row r="1595" spans="1:8" x14ac:dyDescent="0.25">
      <c r="A1595" t="s">
        <v>914</v>
      </c>
      <c r="B1595" t="s">
        <v>1660</v>
      </c>
      <c r="G1595" t="str">
        <f t="shared" si="28"/>
        <v>56.30.4</v>
      </c>
      <c r="H1595" t="str">
        <f t="shared" si="29"/>
        <v>56.30.4 - Vergnügungslokale</v>
      </c>
    </row>
    <row r="1596" spans="1:8" x14ac:dyDescent="0.25">
      <c r="A1596" t="s">
        <v>914</v>
      </c>
      <c r="B1596" t="s">
        <v>1661</v>
      </c>
      <c r="G1596" t="str">
        <f t="shared" si="28"/>
        <v>56.30.9</v>
      </c>
      <c r="H1596" t="str">
        <f t="shared" si="29"/>
        <v>56.30.9 - Sonstige getränkegeprägte Gastronomie</v>
      </c>
    </row>
    <row r="1597" spans="1:8" x14ac:dyDescent="0.25">
      <c r="A1597" t="s">
        <v>915</v>
      </c>
      <c r="B1597" t="s">
        <v>1662</v>
      </c>
      <c r="G1597" t="str">
        <f t="shared" si="28"/>
        <v>58.11.0</v>
      </c>
      <c r="H1597" t="str">
        <f t="shared" si="29"/>
        <v>58.11.0 - Verlegen von Büchern</v>
      </c>
    </row>
    <row r="1598" spans="1:8" x14ac:dyDescent="0.25">
      <c r="A1598" t="s">
        <v>916</v>
      </c>
      <c r="B1598" t="s">
        <v>1663</v>
      </c>
      <c r="G1598" t="str">
        <f t="shared" si="28"/>
        <v>58.12.0</v>
      </c>
      <c r="H1598" t="str">
        <f t="shared" si="29"/>
        <v>58.12.0 - Verlegen von Adressbüchern und Verzeichnissen</v>
      </c>
    </row>
    <row r="1599" spans="1:8" x14ac:dyDescent="0.25">
      <c r="A1599" t="s">
        <v>917</v>
      </c>
      <c r="B1599" t="s">
        <v>1664</v>
      </c>
      <c r="G1599" t="str">
        <f t="shared" si="28"/>
        <v>58.13.0</v>
      </c>
      <c r="H1599" t="str">
        <f t="shared" si="29"/>
        <v>58.13.0 - Verlegen von Zeitungen</v>
      </c>
    </row>
    <row r="1600" spans="1:8" x14ac:dyDescent="0.25">
      <c r="A1600" t="s">
        <v>918</v>
      </c>
      <c r="B1600" t="s">
        <v>1665</v>
      </c>
      <c r="G1600" t="str">
        <f t="shared" si="28"/>
        <v>58.14.0</v>
      </c>
      <c r="H1600" t="str">
        <f t="shared" si="29"/>
        <v>58.14.0 - Verlegen von Zeitschriften</v>
      </c>
    </row>
    <row r="1601" spans="1:8" x14ac:dyDescent="0.25">
      <c r="A1601" t="s">
        <v>919</v>
      </c>
      <c r="B1601" t="s">
        <v>1666</v>
      </c>
      <c r="G1601" t="str">
        <f t="shared" si="28"/>
        <v>58.19.0</v>
      </c>
      <c r="H1601" t="str">
        <f t="shared" si="29"/>
        <v>58.19.0 - Sonstiges Verlagswesen (ohne Software)</v>
      </c>
    </row>
    <row r="1602" spans="1:8" x14ac:dyDescent="0.25">
      <c r="A1602" t="s">
        <v>920</v>
      </c>
      <c r="B1602" t="s">
        <v>1667</v>
      </c>
      <c r="G1602" t="str">
        <f t="shared" si="28"/>
        <v>58.21.0</v>
      </c>
      <c r="H1602" t="str">
        <f t="shared" si="29"/>
        <v>58.21.0 - Verlegen von Computerspielen</v>
      </c>
    </row>
    <row r="1603" spans="1:8" x14ac:dyDescent="0.25">
      <c r="A1603" t="s">
        <v>921</v>
      </c>
      <c r="B1603" t="s">
        <v>1668</v>
      </c>
      <c r="G1603" t="str">
        <f t="shared" si="28"/>
        <v>58.29.0</v>
      </c>
      <c r="H1603" t="str">
        <f t="shared" si="29"/>
        <v>58.29.0 - Verlegen von sonstiger Software</v>
      </c>
    </row>
    <row r="1604" spans="1:8" x14ac:dyDescent="0.25">
      <c r="A1604" t="s">
        <v>922</v>
      </c>
      <c r="B1604" t="s">
        <v>1669</v>
      </c>
      <c r="G1604" t="str">
        <f t="shared" si="28"/>
        <v>59.11.0</v>
      </c>
      <c r="H1604" t="str">
        <f t="shared" si="29"/>
        <v>59.11.0 - Herstellung von Filmen, Videofilmen und Fernsehprogrammen</v>
      </c>
    </row>
    <row r="1605" spans="1:8" x14ac:dyDescent="0.25">
      <c r="A1605" t="s">
        <v>923</v>
      </c>
      <c r="B1605" t="s">
        <v>1670</v>
      </c>
      <c r="G1605" t="str">
        <f t="shared" si="28"/>
        <v>59.12.0</v>
      </c>
      <c r="H1605" t="str">
        <f t="shared" si="29"/>
        <v>59.12.0 - Nachbearbeitung und sonstige Filmtechnik</v>
      </c>
    </row>
    <row r="1606" spans="1:8" x14ac:dyDescent="0.25">
      <c r="A1606" t="s">
        <v>924</v>
      </c>
      <c r="B1606" t="s">
        <v>1671</v>
      </c>
      <c r="G1606" t="str">
        <f t="shared" si="28"/>
        <v>59.13.0</v>
      </c>
      <c r="H1606" t="str">
        <f t="shared" si="29"/>
        <v>59.13.0 - Filmverleih und -vertrieb (ohne Videotheken)</v>
      </c>
    </row>
    <row r="1607" spans="1:8" x14ac:dyDescent="0.25">
      <c r="A1607" t="s">
        <v>925</v>
      </c>
      <c r="B1607" t="s">
        <v>1672</v>
      </c>
      <c r="G1607" t="str">
        <f t="shared" si="28"/>
        <v>59.14.0</v>
      </c>
      <c r="H1607" t="str">
        <f t="shared" si="29"/>
        <v>59.14.0 - Kinos</v>
      </c>
    </row>
    <row r="1608" spans="1:8" x14ac:dyDescent="0.25">
      <c r="A1608" t="s">
        <v>926</v>
      </c>
      <c r="B1608" t="s">
        <v>1673</v>
      </c>
      <c r="G1608" t="str">
        <f t="shared" si="28"/>
        <v>59.20.1</v>
      </c>
      <c r="H1608" t="str">
        <f t="shared" si="29"/>
        <v>59.20.1 - Tonstudios und Herstellung von Hörfunkbeiträgen</v>
      </c>
    </row>
    <row r="1609" spans="1:8" x14ac:dyDescent="0.25">
      <c r="A1609" t="s">
        <v>926</v>
      </c>
      <c r="B1609" t="s">
        <v>1674</v>
      </c>
      <c r="G1609" t="str">
        <f t="shared" si="28"/>
        <v>59.20.2</v>
      </c>
      <c r="H1609" t="str">
        <f t="shared" si="29"/>
        <v>59.20.2 - Verlegen von bespielten Tonträgern</v>
      </c>
    </row>
    <row r="1610" spans="1:8" x14ac:dyDescent="0.25">
      <c r="A1610" t="s">
        <v>926</v>
      </c>
      <c r="B1610" t="s">
        <v>1675</v>
      </c>
      <c r="G1610" t="str">
        <f t="shared" si="28"/>
        <v>59.20.3</v>
      </c>
      <c r="H1610" t="str">
        <f t="shared" si="29"/>
        <v>59.20.3 - Verlegen von Musikalien</v>
      </c>
    </row>
    <row r="1611" spans="1:8" x14ac:dyDescent="0.25">
      <c r="A1611" t="s">
        <v>927</v>
      </c>
      <c r="B1611" t="s">
        <v>1676</v>
      </c>
      <c r="G1611" t="str">
        <f t="shared" si="28"/>
        <v>60.10.0</v>
      </c>
      <c r="H1611" t="str">
        <f t="shared" si="29"/>
        <v>60.10.0 - Hörfunkveranstalter</v>
      </c>
    </row>
    <row r="1612" spans="1:8" x14ac:dyDescent="0.25">
      <c r="A1612" t="s">
        <v>928</v>
      </c>
      <c r="B1612" t="s">
        <v>1677</v>
      </c>
      <c r="G1612" t="str">
        <f t="shared" si="28"/>
        <v>60.20.0</v>
      </c>
      <c r="H1612" t="str">
        <f t="shared" si="29"/>
        <v>60.20.0 - Fernsehveranstalter</v>
      </c>
    </row>
    <row r="1613" spans="1:8" x14ac:dyDescent="0.25">
      <c r="A1613" t="s">
        <v>929</v>
      </c>
      <c r="B1613" t="s">
        <v>1678</v>
      </c>
      <c r="G1613" t="str">
        <f t="shared" si="28"/>
        <v>61.10.0</v>
      </c>
      <c r="H1613" t="str">
        <f t="shared" si="29"/>
        <v>61.10.0 - Leitungsgebundene Telekommunikation</v>
      </c>
    </row>
    <row r="1614" spans="1:8" x14ac:dyDescent="0.25">
      <c r="A1614" t="s">
        <v>930</v>
      </c>
      <c r="B1614" t="s">
        <v>1679</v>
      </c>
      <c r="G1614" t="str">
        <f t="shared" si="28"/>
        <v>61.20.0</v>
      </c>
      <c r="H1614" t="str">
        <f t="shared" si="29"/>
        <v>61.20.0 - Drahtlose Telekommunikation</v>
      </c>
    </row>
    <row r="1615" spans="1:8" x14ac:dyDescent="0.25">
      <c r="A1615" t="s">
        <v>931</v>
      </c>
      <c r="B1615" t="s">
        <v>1680</v>
      </c>
      <c r="G1615" t="str">
        <f t="shared" si="28"/>
        <v>61.30.0</v>
      </c>
      <c r="H1615" t="str">
        <f t="shared" si="29"/>
        <v>61.30.0 - Satellitentelekommunikation</v>
      </c>
    </row>
    <row r="1616" spans="1:8" x14ac:dyDescent="0.25">
      <c r="A1616" t="s">
        <v>932</v>
      </c>
      <c r="B1616" t="s">
        <v>1681</v>
      </c>
      <c r="G1616" t="str">
        <f t="shared" si="28"/>
        <v>61.90.1</v>
      </c>
      <c r="H1616" t="str">
        <f t="shared" si="29"/>
        <v>61.90.1 - Internetserviceprovider</v>
      </c>
    </row>
    <row r="1617" spans="1:8" x14ac:dyDescent="0.25">
      <c r="A1617" t="s">
        <v>932</v>
      </c>
      <c r="B1617" t="s">
        <v>1682</v>
      </c>
      <c r="G1617" t="str">
        <f t="shared" si="28"/>
        <v>61.90.9</v>
      </c>
      <c r="H1617" t="str">
        <f t="shared" si="29"/>
        <v>61.90.9 - Sonstige Telekommunikation a. n. g.</v>
      </c>
    </row>
    <row r="1618" spans="1:8" x14ac:dyDescent="0.25">
      <c r="A1618" t="s">
        <v>933</v>
      </c>
      <c r="B1618" t="s">
        <v>1683</v>
      </c>
      <c r="G1618" t="str">
        <f t="shared" si="28"/>
        <v>62.01.1</v>
      </c>
      <c r="H1618" t="str">
        <f t="shared" si="29"/>
        <v>62.01.1 - Entwicklung und Programmierung von Internetpräsentationen</v>
      </c>
    </row>
    <row r="1619" spans="1:8" x14ac:dyDescent="0.25">
      <c r="A1619" t="s">
        <v>933</v>
      </c>
      <c r="B1619" t="s">
        <v>1684</v>
      </c>
      <c r="G1619" t="str">
        <f t="shared" si="28"/>
        <v>62.01.9</v>
      </c>
      <c r="H1619" t="str">
        <f t="shared" si="29"/>
        <v>62.01.9 - Sonstige Softwareentwicklung</v>
      </c>
    </row>
    <row r="1620" spans="1:8" x14ac:dyDescent="0.25">
      <c r="A1620" t="s">
        <v>934</v>
      </c>
      <c r="B1620" t="s">
        <v>1685</v>
      </c>
      <c r="G1620" t="str">
        <f t="shared" si="28"/>
        <v>62.02.0</v>
      </c>
      <c r="H1620" t="str">
        <f t="shared" si="29"/>
        <v>62.02.0 - Erbringung von Beratungsleistungen auf dem Gebiet der Informationstechnologie</v>
      </c>
    </row>
    <row r="1621" spans="1:8" x14ac:dyDescent="0.25">
      <c r="A1621" t="s">
        <v>935</v>
      </c>
      <c r="B1621" t="s">
        <v>1686</v>
      </c>
      <c r="G1621" t="str">
        <f t="shared" si="28"/>
        <v>62.03.0</v>
      </c>
      <c r="H1621" t="str">
        <f t="shared" si="29"/>
        <v>62.03.0 - Betrieb von Datenverarbeitungseinrichtungen für Dritte</v>
      </c>
    </row>
    <row r="1622" spans="1:8" x14ac:dyDescent="0.25">
      <c r="A1622" t="s">
        <v>936</v>
      </c>
      <c r="B1622" t="s">
        <v>1687</v>
      </c>
      <c r="G1622" t="str">
        <f t="shared" si="28"/>
        <v>62.09.0</v>
      </c>
      <c r="H1622" t="str">
        <f t="shared" si="29"/>
        <v>62.09.0 - Erbringung von sonstigen Dienstleistungen der Informationstechnologie</v>
      </c>
    </row>
    <row r="1623" spans="1:8" x14ac:dyDescent="0.25">
      <c r="A1623" t="s">
        <v>937</v>
      </c>
      <c r="B1623" t="s">
        <v>1688</v>
      </c>
      <c r="G1623" t="str">
        <f t="shared" si="28"/>
        <v>63.11.0</v>
      </c>
      <c r="H1623" t="str">
        <f t="shared" si="29"/>
        <v>63.11.0 - Datenverarbeitung, Hosting und damit verbundene Tätigkeiten</v>
      </c>
    </row>
    <row r="1624" spans="1:8" x14ac:dyDescent="0.25">
      <c r="A1624" t="s">
        <v>938</v>
      </c>
      <c r="B1624" t="s">
        <v>1689</v>
      </c>
      <c r="G1624" t="str">
        <f t="shared" si="28"/>
        <v>63.12.0</v>
      </c>
      <c r="H1624" t="str">
        <f t="shared" si="29"/>
        <v>63.12.0 - Webportale</v>
      </c>
    </row>
    <row r="1625" spans="1:8" x14ac:dyDescent="0.25">
      <c r="A1625" t="s">
        <v>939</v>
      </c>
      <c r="B1625" t="s">
        <v>1690</v>
      </c>
      <c r="G1625" t="str">
        <f t="shared" si="28"/>
        <v>63.91.0</v>
      </c>
      <c r="H1625" t="str">
        <f t="shared" si="29"/>
        <v>63.91.0 - Korrespondenz- und Nachrichtenbüros</v>
      </c>
    </row>
    <row r="1626" spans="1:8" x14ac:dyDescent="0.25">
      <c r="A1626" t="s">
        <v>940</v>
      </c>
      <c r="B1626" t="s">
        <v>1691</v>
      </c>
      <c r="G1626" t="str">
        <f t="shared" si="28"/>
        <v>63.99.0</v>
      </c>
      <c r="H1626" t="str">
        <f t="shared" si="29"/>
        <v>63.99.0 - Erbringung von sonstigen Informationsdienstleistungen a. n. g.</v>
      </c>
    </row>
    <row r="1627" spans="1:8" x14ac:dyDescent="0.25">
      <c r="A1627" t="s">
        <v>941</v>
      </c>
      <c r="B1627" t="s">
        <v>1692</v>
      </c>
      <c r="G1627" t="str">
        <f t="shared" si="28"/>
        <v>64.11.0</v>
      </c>
      <c r="H1627" t="str">
        <f t="shared" si="29"/>
        <v>64.11.0 - Zentralbanken</v>
      </c>
    </row>
    <row r="1628" spans="1:8" x14ac:dyDescent="0.25">
      <c r="A1628" t="s">
        <v>942</v>
      </c>
      <c r="B1628" t="s">
        <v>1693</v>
      </c>
      <c r="G1628" t="str">
        <f t="shared" si="28"/>
        <v>64.19.1</v>
      </c>
      <c r="H1628" t="str">
        <f t="shared" si="29"/>
        <v>64.19.1 - Kreditbanken einschließlich Zweigstellen ausländischer Banken</v>
      </c>
    </row>
    <row r="1629" spans="1:8" x14ac:dyDescent="0.25">
      <c r="A1629" t="s">
        <v>942</v>
      </c>
      <c r="B1629" t="s">
        <v>1694</v>
      </c>
      <c r="G1629" t="str">
        <f t="shared" si="28"/>
        <v>64.19.2</v>
      </c>
      <c r="H1629" t="str">
        <f t="shared" si="29"/>
        <v>64.19.2 - Kreditinstitute des Sparkassensektors</v>
      </c>
    </row>
    <row r="1630" spans="1:8" x14ac:dyDescent="0.25">
      <c r="A1630" t="s">
        <v>942</v>
      </c>
      <c r="B1630" t="s">
        <v>1695</v>
      </c>
      <c r="G1630" t="str">
        <f t="shared" si="28"/>
        <v>64.19.3</v>
      </c>
      <c r="H1630" t="str">
        <f t="shared" si="29"/>
        <v>64.19.3 - Kreditinstitute des Genossenschaftssektors</v>
      </c>
    </row>
    <row r="1631" spans="1:8" x14ac:dyDescent="0.25">
      <c r="A1631" t="s">
        <v>942</v>
      </c>
      <c r="B1631" t="s">
        <v>1696</v>
      </c>
      <c r="G1631" t="str">
        <f t="shared" si="28"/>
        <v>64.19.4</v>
      </c>
      <c r="H1631" t="str">
        <f t="shared" si="29"/>
        <v>64.19.4 - Realkreditinstitute</v>
      </c>
    </row>
    <row r="1632" spans="1:8" x14ac:dyDescent="0.25">
      <c r="A1632" t="s">
        <v>942</v>
      </c>
      <c r="B1632" t="s">
        <v>1697</v>
      </c>
      <c r="G1632" t="str">
        <f t="shared" si="28"/>
        <v>64.19.5</v>
      </c>
      <c r="H1632" t="str">
        <f t="shared" si="29"/>
        <v>64.19.5 - Kreditinstitute mit Sonderaufgaben</v>
      </c>
    </row>
    <row r="1633" spans="1:8" x14ac:dyDescent="0.25">
      <c r="A1633" t="s">
        <v>942</v>
      </c>
      <c r="B1633" t="s">
        <v>1698</v>
      </c>
      <c r="G1633" t="str">
        <f t="shared" si="28"/>
        <v>64.19.6</v>
      </c>
      <c r="H1633" t="str">
        <f t="shared" si="29"/>
        <v>64.19.6 - Bausparkassen</v>
      </c>
    </row>
    <row r="1634" spans="1:8" x14ac:dyDescent="0.25">
      <c r="A1634" t="s">
        <v>943</v>
      </c>
      <c r="B1634" t="s">
        <v>1699</v>
      </c>
      <c r="G1634" t="str">
        <f t="shared" si="28"/>
        <v>64.20.0</v>
      </c>
      <c r="H1634" t="str">
        <f t="shared" si="29"/>
        <v>64.20.0 - Beteiligungsgesellschaften</v>
      </c>
    </row>
    <row r="1635" spans="1:8" x14ac:dyDescent="0.25">
      <c r="A1635" t="s">
        <v>944</v>
      </c>
      <c r="B1635" t="s">
        <v>1700</v>
      </c>
      <c r="G1635" t="str">
        <f t="shared" si="28"/>
        <v>64.30.0</v>
      </c>
      <c r="H1635" t="str">
        <f t="shared" si="29"/>
        <v>64.30.0 - Treuhand- und sonstige Fonds und ähnliche Finanzinstitutionen</v>
      </c>
    </row>
    <row r="1636" spans="1:8" x14ac:dyDescent="0.25">
      <c r="A1636" t="s">
        <v>945</v>
      </c>
      <c r="B1636" t="s">
        <v>1701</v>
      </c>
      <c r="G1636" t="str">
        <f t="shared" si="28"/>
        <v>64.91.0</v>
      </c>
      <c r="H1636" t="str">
        <f t="shared" si="29"/>
        <v>64.91.0 - Institutionen für Finanzierungsleasing</v>
      </c>
    </row>
    <row r="1637" spans="1:8" x14ac:dyDescent="0.25">
      <c r="A1637" t="s">
        <v>946</v>
      </c>
      <c r="B1637" t="s">
        <v>1702</v>
      </c>
      <c r="G1637" t="str">
        <f t="shared" si="28"/>
        <v>64.92.1</v>
      </c>
      <c r="H1637" t="str">
        <f t="shared" si="29"/>
        <v>64.92.1 - Spezialkreditinstitute (ohne Pfandkreditgeschäfte)</v>
      </c>
    </row>
    <row r="1638" spans="1:8" x14ac:dyDescent="0.25">
      <c r="A1638" t="s">
        <v>946</v>
      </c>
      <c r="B1638" t="s">
        <v>1703</v>
      </c>
      <c r="G1638" t="str">
        <f t="shared" si="28"/>
        <v>64.92.2</v>
      </c>
      <c r="H1638" t="str">
        <f t="shared" si="29"/>
        <v>64.92.2 - Leihhäuser</v>
      </c>
    </row>
    <row r="1639" spans="1:8" x14ac:dyDescent="0.25">
      <c r="A1639" t="s">
        <v>947</v>
      </c>
      <c r="B1639" t="s">
        <v>1704</v>
      </c>
      <c r="G1639" t="str">
        <f t="shared" ref="G1639:G1702" si="30">MID(B1639,1,7)</f>
        <v>64.99.1</v>
      </c>
      <c r="H1639" t="str">
        <f t="shared" si="29"/>
        <v>64.99.1 - Investmentaktiengesellschaften und Fonds von Kapitalanlagegesellschaften (ohne Geldmarktfonds)</v>
      </c>
    </row>
    <row r="1640" spans="1:8" x14ac:dyDescent="0.25">
      <c r="A1640" t="s">
        <v>947</v>
      </c>
      <c r="B1640" t="s">
        <v>1705</v>
      </c>
      <c r="G1640" t="str">
        <f t="shared" si="30"/>
        <v>64.99.9</v>
      </c>
      <c r="H1640" t="str">
        <f t="shared" ref="H1640:H1703" si="31">B1640</f>
        <v>64.99.9 - Sonstige Finanzierungsinstitutionen a. n. g.</v>
      </c>
    </row>
    <row r="1641" spans="1:8" x14ac:dyDescent="0.25">
      <c r="A1641" t="s">
        <v>948</v>
      </c>
      <c r="B1641" t="s">
        <v>1706</v>
      </c>
      <c r="G1641" t="str">
        <f t="shared" si="30"/>
        <v>65.11.0</v>
      </c>
      <c r="H1641" t="str">
        <f t="shared" si="31"/>
        <v>65.11.0 - Lebensversicherungen</v>
      </c>
    </row>
    <row r="1642" spans="1:8" x14ac:dyDescent="0.25">
      <c r="A1642" t="s">
        <v>949</v>
      </c>
      <c r="B1642" t="s">
        <v>1707</v>
      </c>
      <c r="G1642" t="str">
        <f t="shared" si="30"/>
        <v>65.12.1</v>
      </c>
      <c r="H1642" t="str">
        <f t="shared" si="31"/>
        <v>65.12.1 - Krankenversicherungen</v>
      </c>
    </row>
    <row r="1643" spans="1:8" x14ac:dyDescent="0.25">
      <c r="A1643" t="s">
        <v>949</v>
      </c>
      <c r="B1643" t="s">
        <v>1708</v>
      </c>
      <c r="G1643" t="str">
        <f t="shared" si="30"/>
        <v>65.12.2</v>
      </c>
      <c r="H1643" t="str">
        <f t="shared" si="31"/>
        <v>65.12.2 - Schaden- und Unfallversicherungen</v>
      </c>
    </row>
    <row r="1644" spans="1:8" x14ac:dyDescent="0.25">
      <c r="A1644" t="s">
        <v>950</v>
      </c>
      <c r="B1644" t="s">
        <v>1709</v>
      </c>
      <c r="G1644" t="str">
        <f t="shared" si="30"/>
        <v>65.20.0</v>
      </c>
      <c r="H1644" t="str">
        <f t="shared" si="31"/>
        <v>65.20.0 - Rückversicherungen</v>
      </c>
    </row>
    <row r="1645" spans="1:8" x14ac:dyDescent="0.25">
      <c r="A1645" t="s">
        <v>951</v>
      </c>
      <c r="B1645" t="s">
        <v>1710</v>
      </c>
      <c r="G1645" t="str">
        <f t="shared" si="30"/>
        <v>65.30.0</v>
      </c>
      <c r="H1645" t="str">
        <f t="shared" si="31"/>
        <v>65.30.0 - Pensionskassen und Pensionsfonds</v>
      </c>
    </row>
    <row r="1646" spans="1:8" x14ac:dyDescent="0.25">
      <c r="A1646" t="s">
        <v>952</v>
      </c>
      <c r="B1646" t="s">
        <v>1711</v>
      </c>
      <c r="G1646" t="str">
        <f t="shared" si="30"/>
        <v>66.11.0</v>
      </c>
      <c r="H1646" t="str">
        <f t="shared" si="31"/>
        <v>66.11.0 - Effekten- und Warenbörsen</v>
      </c>
    </row>
    <row r="1647" spans="1:8" x14ac:dyDescent="0.25">
      <c r="A1647" t="s">
        <v>953</v>
      </c>
      <c r="B1647" t="s">
        <v>1712</v>
      </c>
      <c r="G1647" t="str">
        <f t="shared" si="30"/>
        <v>66.12.0</v>
      </c>
      <c r="H1647" t="str">
        <f t="shared" si="31"/>
        <v>66.12.0 - Effekten- und Warenhandel</v>
      </c>
    </row>
    <row r="1648" spans="1:8" x14ac:dyDescent="0.25">
      <c r="A1648" t="s">
        <v>954</v>
      </c>
      <c r="B1648" t="s">
        <v>1713</v>
      </c>
      <c r="G1648" t="str">
        <f t="shared" si="30"/>
        <v>66.19.0</v>
      </c>
      <c r="H1648" t="str">
        <f t="shared" si="31"/>
        <v>66.19.0 - Sonstige mit Finanzdienstleistungen verbundene Tätigkeiten</v>
      </c>
    </row>
    <row r="1649" spans="1:8" x14ac:dyDescent="0.25">
      <c r="A1649" t="s">
        <v>955</v>
      </c>
      <c r="B1649" t="s">
        <v>1714</v>
      </c>
      <c r="G1649" t="str">
        <f t="shared" si="30"/>
        <v>66.21.0</v>
      </c>
      <c r="H1649" t="str">
        <f t="shared" si="31"/>
        <v>66.21.0 - Risiko- und Schadensbewertung</v>
      </c>
    </row>
    <row r="1650" spans="1:8" x14ac:dyDescent="0.25">
      <c r="A1650" t="s">
        <v>956</v>
      </c>
      <c r="B1650" t="s">
        <v>1715</v>
      </c>
      <c r="G1650" t="str">
        <f t="shared" si="30"/>
        <v>66.22.0</v>
      </c>
      <c r="H1650" t="str">
        <f t="shared" si="31"/>
        <v>66.22.0 - Tätigkeit von Versicherungsmaklerinnen und -maklern</v>
      </c>
    </row>
    <row r="1651" spans="1:8" x14ac:dyDescent="0.25">
      <c r="A1651" t="s">
        <v>957</v>
      </c>
      <c r="B1651" t="s">
        <v>1716</v>
      </c>
      <c r="G1651" t="str">
        <f t="shared" si="30"/>
        <v>66.29.0</v>
      </c>
      <c r="H1651" t="str">
        <f t="shared" si="31"/>
        <v>66.29.0 - Sonstige mit Versicherungsdienstleistungen und Pensionskassen verbundene Tätigkeiten</v>
      </c>
    </row>
    <row r="1652" spans="1:8" x14ac:dyDescent="0.25">
      <c r="A1652" t="s">
        <v>958</v>
      </c>
      <c r="B1652" t="s">
        <v>1717</v>
      </c>
      <c r="G1652" t="str">
        <f t="shared" si="30"/>
        <v>66.30.0</v>
      </c>
      <c r="H1652" t="str">
        <f t="shared" si="31"/>
        <v>66.30.0 - Fondsmanagement</v>
      </c>
    </row>
    <row r="1653" spans="1:8" x14ac:dyDescent="0.25">
      <c r="A1653" t="s">
        <v>959</v>
      </c>
      <c r="B1653" t="s">
        <v>1718</v>
      </c>
      <c r="G1653" t="str">
        <f t="shared" si="30"/>
        <v>68.10.1</v>
      </c>
      <c r="H1653" t="str">
        <f t="shared" si="31"/>
        <v>68.10.1 - Kauf und Verkauf von eigenen Wohngrundstücken, Wohngebäuden und Wohnungen</v>
      </c>
    </row>
    <row r="1654" spans="1:8" x14ac:dyDescent="0.25">
      <c r="A1654" t="s">
        <v>959</v>
      </c>
      <c r="B1654" t="s">
        <v>1719</v>
      </c>
      <c r="G1654" t="str">
        <f t="shared" si="30"/>
        <v>68.10.2</v>
      </c>
      <c r="H1654" t="str">
        <f t="shared" si="31"/>
        <v>68.10.2 - Kauf und Verkauf von eigenen Gewerbegrundstücken und Nichtwohngebäuden</v>
      </c>
    </row>
    <row r="1655" spans="1:8" x14ac:dyDescent="0.25">
      <c r="A1655" t="s">
        <v>960</v>
      </c>
      <c r="B1655" t="s">
        <v>1720</v>
      </c>
      <c r="G1655" t="str">
        <f t="shared" si="30"/>
        <v>68.20.1</v>
      </c>
      <c r="H1655" t="str">
        <f t="shared" si="31"/>
        <v>68.20.1 - Vermietung, Verpachtung von eigenen oder geleasten Wohngrundstücken, Wohngebäuden und Wohnungen</v>
      </c>
    </row>
    <row r="1656" spans="1:8" x14ac:dyDescent="0.25">
      <c r="A1656" t="s">
        <v>960</v>
      </c>
      <c r="B1656" t="s">
        <v>1721</v>
      </c>
      <c r="G1656" t="str">
        <f t="shared" si="30"/>
        <v>68.20.2</v>
      </c>
      <c r="H1656" t="str">
        <f t="shared" si="31"/>
        <v>68.20.2 - Vermietung, Verpachtung von eigenen oder geleasten Gewerbegrundstücken und Nichtwohngebäuden</v>
      </c>
    </row>
    <row r="1657" spans="1:8" x14ac:dyDescent="0.25">
      <c r="A1657" t="s">
        <v>961</v>
      </c>
      <c r="B1657" t="s">
        <v>1722</v>
      </c>
      <c r="G1657" t="str">
        <f t="shared" si="30"/>
        <v>68.31.1</v>
      </c>
      <c r="H1657" t="str">
        <f t="shared" si="31"/>
        <v>68.31.1 - Vermittlung von Wohngrundstücken, Wohngebäuden und Wohnungen für Dritte</v>
      </c>
    </row>
    <row r="1658" spans="1:8" x14ac:dyDescent="0.25">
      <c r="A1658" t="s">
        <v>961</v>
      </c>
      <c r="B1658" t="s">
        <v>1723</v>
      </c>
      <c r="G1658" t="str">
        <f t="shared" si="30"/>
        <v>68.31.2</v>
      </c>
      <c r="H1658" t="str">
        <f t="shared" si="31"/>
        <v>68.31.2 - Vermittlung von Gewerbegrundstücken und Nichtwohngebäuden für Dritte</v>
      </c>
    </row>
    <row r="1659" spans="1:8" x14ac:dyDescent="0.25">
      <c r="A1659" t="s">
        <v>962</v>
      </c>
      <c r="B1659" t="s">
        <v>1724</v>
      </c>
      <c r="G1659" t="str">
        <f t="shared" si="30"/>
        <v>68.32.1</v>
      </c>
      <c r="H1659" t="str">
        <f t="shared" si="31"/>
        <v>68.32.1 - Verwaltung von Wohngrundstücken, Wohngebäuden und Wohnungen für Dritte</v>
      </c>
    </row>
    <row r="1660" spans="1:8" x14ac:dyDescent="0.25">
      <c r="A1660" t="s">
        <v>962</v>
      </c>
      <c r="B1660" t="s">
        <v>1725</v>
      </c>
      <c r="G1660" t="str">
        <f t="shared" si="30"/>
        <v>68.32.2</v>
      </c>
      <c r="H1660" t="str">
        <f t="shared" si="31"/>
        <v>68.32.2 - Verwaltung von Gewerbegrundstücken und Nichtwohngebäuden für Dritte</v>
      </c>
    </row>
    <row r="1661" spans="1:8" x14ac:dyDescent="0.25">
      <c r="A1661" t="s">
        <v>963</v>
      </c>
      <c r="B1661" t="s">
        <v>1726</v>
      </c>
      <c r="G1661" t="str">
        <f t="shared" si="30"/>
        <v>69.10.1</v>
      </c>
      <c r="H1661" t="str">
        <f t="shared" si="31"/>
        <v>69.10.1 - Rechtsanwaltskanzleien mit Notariat</v>
      </c>
    </row>
    <row r="1662" spans="1:8" x14ac:dyDescent="0.25">
      <c r="A1662" t="s">
        <v>963</v>
      </c>
      <c r="B1662" t="s">
        <v>1727</v>
      </c>
      <c r="G1662" t="str">
        <f t="shared" si="30"/>
        <v>69.10.2</v>
      </c>
      <c r="H1662" t="str">
        <f t="shared" si="31"/>
        <v>69.10.2 - Rechtsanwaltskanzleien ohne Notariat</v>
      </c>
    </row>
    <row r="1663" spans="1:8" x14ac:dyDescent="0.25">
      <c r="A1663" t="s">
        <v>963</v>
      </c>
      <c r="B1663" t="s">
        <v>1728</v>
      </c>
      <c r="G1663" t="str">
        <f t="shared" si="30"/>
        <v>69.10.3</v>
      </c>
      <c r="H1663" t="str">
        <f t="shared" si="31"/>
        <v>69.10.3 - Notariate</v>
      </c>
    </row>
    <row r="1664" spans="1:8" x14ac:dyDescent="0.25">
      <c r="A1664" t="s">
        <v>963</v>
      </c>
      <c r="B1664" t="s">
        <v>1729</v>
      </c>
      <c r="G1664" t="str">
        <f t="shared" si="30"/>
        <v>69.10.4</v>
      </c>
      <c r="H1664" t="str">
        <f t="shared" si="31"/>
        <v>69.10.4 - Patentanwaltskanzleien</v>
      </c>
    </row>
    <row r="1665" spans="1:8" x14ac:dyDescent="0.25">
      <c r="A1665" t="s">
        <v>963</v>
      </c>
      <c r="B1665" t="s">
        <v>1730</v>
      </c>
      <c r="G1665" t="str">
        <f t="shared" si="30"/>
        <v>69.10.9</v>
      </c>
      <c r="H1665" t="str">
        <f t="shared" si="31"/>
        <v>69.10.9 - Erbringung sonstiger juristischer Dienstleistungen a. n. g.</v>
      </c>
    </row>
    <row r="1666" spans="1:8" x14ac:dyDescent="0.25">
      <c r="A1666" t="s">
        <v>964</v>
      </c>
      <c r="B1666" t="s">
        <v>1731</v>
      </c>
      <c r="G1666" t="str">
        <f t="shared" si="30"/>
        <v>69.20.1</v>
      </c>
      <c r="H1666" t="str">
        <f t="shared" si="31"/>
        <v>69.20.1 - Praxen von Wirtschaftsprüferinnen und -prüfern, Wirtschaftsprüfungs-gesellschaften</v>
      </c>
    </row>
    <row r="1667" spans="1:8" x14ac:dyDescent="0.25">
      <c r="A1667" t="s">
        <v>964</v>
      </c>
      <c r="B1667" t="s">
        <v>1732</v>
      </c>
      <c r="G1667" t="str">
        <f t="shared" si="30"/>
        <v>69.20.2</v>
      </c>
      <c r="H1667" t="str">
        <f t="shared" si="31"/>
        <v>69.20.2 - Praxen von vereidigten Buchprüferinnen und -prüfern, Buchprüfungs-gesellschaften</v>
      </c>
    </row>
    <row r="1668" spans="1:8" x14ac:dyDescent="0.25">
      <c r="A1668" t="s">
        <v>964</v>
      </c>
      <c r="B1668" t="s">
        <v>1733</v>
      </c>
      <c r="G1668" t="str">
        <f t="shared" si="30"/>
        <v>69.20.3</v>
      </c>
      <c r="H1668" t="str">
        <f t="shared" si="31"/>
        <v>69.20.3 - Praxen von Steuerbevollmächtigten, Steuerberaterinnen und -beratern, Steuerberatungsgesellschaften</v>
      </c>
    </row>
    <row r="1669" spans="1:8" x14ac:dyDescent="0.25">
      <c r="A1669" t="s">
        <v>964</v>
      </c>
      <c r="B1669" t="s">
        <v>1734</v>
      </c>
      <c r="G1669" t="str">
        <f t="shared" si="30"/>
        <v>69.20.4</v>
      </c>
      <c r="H1669" t="str">
        <f t="shared" si="31"/>
        <v>69.20.4 - Buchführung (ohne Datenverarbeitungsdienste)</v>
      </c>
    </row>
    <row r="1670" spans="1:8" x14ac:dyDescent="0.25">
      <c r="A1670" t="s">
        <v>965</v>
      </c>
      <c r="B1670" t="s">
        <v>1735</v>
      </c>
      <c r="G1670" t="str">
        <f t="shared" si="30"/>
        <v>70.10.1</v>
      </c>
      <c r="H1670" t="str">
        <f t="shared" si="31"/>
        <v>70.10.1 - Managementtätigkeiten von Holdinggesellschaften</v>
      </c>
    </row>
    <row r="1671" spans="1:8" x14ac:dyDescent="0.25">
      <c r="A1671" t="s">
        <v>965</v>
      </c>
      <c r="B1671" t="s">
        <v>1736</v>
      </c>
      <c r="G1671" t="str">
        <f t="shared" si="30"/>
        <v>70.10.9</v>
      </c>
      <c r="H1671" t="str">
        <f t="shared" si="31"/>
        <v>70.10.9 - Sonstige Verwaltung und Führung von Unternehmen und Betrieben</v>
      </c>
    </row>
    <row r="1672" spans="1:8" x14ac:dyDescent="0.25">
      <c r="A1672" t="s">
        <v>966</v>
      </c>
      <c r="B1672" t="s">
        <v>1737</v>
      </c>
      <c r="G1672" t="str">
        <f t="shared" si="30"/>
        <v>70.21.0</v>
      </c>
      <c r="H1672" t="str">
        <f t="shared" si="31"/>
        <v>70.21.0 - Public-Relations-Beratung</v>
      </c>
    </row>
    <row r="1673" spans="1:8" x14ac:dyDescent="0.25">
      <c r="A1673" t="s">
        <v>967</v>
      </c>
      <c r="B1673" t="s">
        <v>1738</v>
      </c>
      <c r="G1673" t="str">
        <f t="shared" si="30"/>
        <v>70.22.0</v>
      </c>
      <c r="H1673" t="str">
        <f t="shared" si="31"/>
        <v>70.22.0 - Unternehmensberatung</v>
      </c>
    </row>
    <row r="1674" spans="1:8" x14ac:dyDescent="0.25">
      <c r="A1674" t="s">
        <v>968</v>
      </c>
      <c r="B1674" t="s">
        <v>1739</v>
      </c>
      <c r="G1674" t="str">
        <f t="shared" si="30"/>
        <v>71.11.1</v>
      </c>
      <c r="H1674" t="str">
        <f t="shared" si="31"/>
        <v>71.11.1 - Architekturbüros für Hochbau</v>
      </c>
    </row>
    <row r="1675" spans="1:8" x14ac:dyDescent="0.25">
      <c r="A1675" t="s">
        <v>968</v>
      </c>
      <c r="B1675" t="s">
        <v>1740</v>
      </c>
      <c r="G1675" t="str">
        <f t="shared" si="30"/>
        <v>71.11.2</v>
      </c>
      <c r="H1675" t="str">
        <f t="shared" si="31"/>
        <v>71.11.2 - Büros für Innenarchitektur</v>
      </c>
    </row>
    <row r="1676" spans="1:8" x14ac:dyDescent="0.25">
      <c r="A1676" t="s">
        <v>968</v>
      </c>
      <c r="B1676" t="s">
        <v>1741</v>
      </c>
      <c r="G1676" t="str">
        <f t="shared" si="30"/>
        <v>71.11.3</v>
      </c>
      <c r="H1676" t="str">
        <f t="shared" si="31"/>
        <v>71.11.3 - Architekturbüros für Orts-, Regional- und Landesplanung</v>
      </c>
    </row>
    <row r="1677" spans="1:8" x14ac:dyDescent="0.25">
      <c r="A1677" t="s">
        <v>968</v>
      </c>
      <c r="B1677" t="s">
        <v>1742</v>
      </c>
      <c r="G1677" t="str">
        <f t="shared" si="30"/>
        <v>71.11.4</v>
      </c>
      <c r="H1677" t="str">
        <f t="shared" si="31"/>
        <v>71.11.4 - Architekturbüros für Garten- und Landschaftsgestaltung</v>
      </c>
    </row>
    <row r="1678" spans="1:8" x14ac:dyDescent="0.25">
      <c r="A1678" t="s">
        <v>969</v>
      </c>
      <c r="B1678" t="s">
        <v>1743</v>
      </c>
      <c r="G1678" t="str">
        <f t="shared" si="30"/>
        <v>71.12.1</v>
      </c>
      <c r="H1678" t="str">
        <f t="shared" si="31"/>
        <v>71.12.1 - Ingenieurbüros für bautechnische Gesamtplanung</v>
      </c>
    </row>
    <row r="1679" spans="1:8" x14ac:dyDescent="0.25">
      <c r="A1679" t="s">
        <v>969</v>
      </c>
      <c r="B1679" t="s">
        <v>1744</v>
      </c>
      <c r="G1679" t="str">
        <f t="shared" si="30"/>
        <v>71.12.2</v>
      </c>
      <c r="H1679" t="str">
        <f t="shared" si="31"/>
        <v>71.12.2 - Ingenieurbüros für technische Fachplanung und Ingenieurdesign</v>
      </c>
    </row>
    <row r="1680" spans="1:8" x14ac:dyDescent="0.25">
      <c r="A1680" t="s">
        <v>969</v>
      </c>
      <c r="B1680" t="s">
        <v>1745</v>
      </c>
      <c r="G1680" t="str">
        <f t="shared" si="30"/>
        <v>71.12.3</v>
      </c>
      <c r="H1680" t="str">
        <f t="shared" si="31"/>
        <v>71.12.3 - Vermessungsbüros</v>
      </c>
    </row>
    <row r="1681" spans="1:8" x14ac:dyDescent="0.25">
      <c r="A1681" t="s">
        <v>969</v>
      </c>
      <c r="B1681" t="s">
        <v>1746</v>
      </c>
      <c r="G1681" t="str">
        <f t="shared" si="30"/>
        <v>71.12.9</v>
      </c>
      <c r="H1681" t="str">
        <f t="shared" si="31"/>
        <v>71.12.9 - Sonstige Ingenieurbüros</v>
      </c>
    </row>
    <row r="1682" spans="1:8" x14ac:dyDescent="0.25">
      <c r="A1682" t="s">
        <v>970</v>
      </c>
      <c r="B1682" t="s">
        <v>1747</v>
      </c>
      <c r="G1682" t="str">
        <f t="shared" si="30"/>
        <v>71.20.0</v>
      </c>
      <c r="H1682" t="str">
        <f t="shared" si="31"/>
        <v>71.20.0 - Technische, physikalische und chemische Untersuchung</v>
      </c>
    </row>
    <row r="1683" spans="1:8" x14ac:dyDescent="0.25">
      <c r="A1683" t="s">
        <v>971</v>
      </c>
      <c r="B1683" t="s">
        <v>1748</v>
      </c>
      <c r="G1683" t="str">
        <f t="shared" si="30"/>
        <v>72.11.0</v>
      </c>
      <c r="H1683" t="str">
        <f t="shared" si="31"/>
        <v>72.11.0 - Forschung und Entwicklung im Bereich Biotechnologie</v>
      </c>
    </row>
    <row r="1684" spans="1:8" x14ac:dyDescent="0.25">
      <c r="A1684" t="s">
        <v>972</v>
      </c>
      <c r="B1684" t="s">
        <v>1749</v>
      </c>
      <c r="G1684" t="str">
        <f t="shared" si="30"/>
        <v>72.19.0</v>
      </c>
      <c r="H1684" t="str">
        <f t="shared" si="31"/>
        <v>72.19.0 - Sonstige Forschung und Entwicklung im Bereich Natur-, Ingenieur-, Agrarwissenschaften und Medizin</v>
      </c>
    </row>
    <row r="1685" spans="1:8" x14ac:dyDescent="0.25">
      <c r="A1685" t="s">
        <v>973</v>
      </c>
      <c r="B1685" t="s">
        <v>1750</v>
      </c>
      <c r="G1685" t="str">
        <f t="shared" si="30"/>
        <v>72.20.0</v>
      </c>
      <c r="H1685" t="str">
        <f t="shared" si="31"/>
        <v>72.20.0 - Forschung und Entwicklung im Bereich Rechts-, Wirtschafts- und Sozialwissenschaften sowie im Bereich Sprach-, Kultur- und Kunstwissenschaften</v>
      </c>
    </row>
    <row r="1686" spans="1:8" x14ac:dyDescent="0.25">
      <c r="A1686" t="s">
        <v>974</v>
      </c>
      <c r="B1686" t="s">
        <v>1751</v>
      </c>
      <c r="G1686" t="str">
        <f t="shared" si="30"/>
        <v>73.11.0</v>
      </c>
      <c r="H1686" t="str">
        <f t="shared" si="31"/>
        <v>73.11.0 - Werbeagenturen</v>
      </c>
    </row>
    <row r="1687" spans="1:8" x14ac:dyDescent="0.25">
      <c r="A1687" t="s">
        <v>975</v>
      </c>
      <c r="B1687" t="s">
        <v>1752</v>
      </c>
      <c r="G1687" t="str">
        <f t="shared" si="30"/>
        <v>73.12.0</v>
      </c>
      <c r="H1687" t="str">
        <f t="shared" si="31"/>
        <v>73.12.0 - Vermarktung und Vermittlung von Werbezeiten und Werbeflächen</v>
      </c>
    </row>
    <row r="1688" spans="1:8" x14ac:dyDescent="0.25">
      <c r="A1688" t="s">
        <v>976</v>
      </c>
      <c r="B1688" t="s">
        <v>1753</v>
      </c>
      <c r="G1688" t="str">
        <f t="shared" si="30"/>
        <v>73.20.0</v>
      </c>
      <c r="H1688" t="str">
        <f t="shared" si="31"/>
        <v>73.20.0 - Markt- und Meinungsforschung</v>
      </c>
    </row>
    <row r="1689" spans="1:8" x14ac:dyDescent="0.25">
      <c r="A1689" t="s">
        <v>977</v>
      </c>
      <c r="B1689" t="s">
        <v>1754</v>
      </c>
      <c r="G1689" t="str">
        <f t="shared" si="30"/>
        <v>74.10.1</v>
      </c>
      <c r="H1689" t="str">
        <f t="shared" si="31"/>
        <v>74.10.1 - Industrie-, Produkt- und Mode-Design</v>
      </c>
    </row>
    <row r="1690" spans="1:8" x14ac:dyDescent="0.25">
      <c r="A1690" t="s">
        <v>977</v>
      </c>
      <c r="B1690" t="s">
        <v>1755</v>
      </c>
      <c r="G1690" t="str">
        <f t="shared" si="30"/>
        <v>74.10.2</v>
      </c>
      <c r="H1690" t="str">
        <f t="shared" si="31"/>
        <v>74.10.2 - Grafik- und Kommunikationsdesign</v>
      </c>
    </row>
    <row r="1691" spans="1:8" x14ac:dyDescent="0.25">
      <c r="A1691" t="s">
        <v>977</v>
      </c>
      <c r="B1691" t="s">
        <v>1756</v>
      </c>
      <c r="G1691" t="str">
        <f t="shared" si="30"/>
        <v>74.10.3</v>
      </c>
      <c r="H1691" t="str">
        <f t="shared" si="31"/>
        <v>74.10.3 - Interior Design und Raumgestaltung</v>
      </c>
    </row>
    <row r="1692" spans="1:8" x14ac:dyDescent="0.25">
      <c r="A1692" t="s">
        <v>978</v>
      </c>
      <c r="B1692" t="s">
        <v>1757</v>
      </c>
      <c r="G1692" t="str">
        <f t="shared" si="30"/>
        <v>74.20.1</v>
      </c>
      <c r="H1692" t="str">
        <f t="shared" si="31"/>
        <v>74.20.1 - Fotografie</v>
      </c>
    </row>
    <row r="1693" spans="1:8" x14ac:dyDescent="0.25">
      <c r="A1693" t="s">
        <v>978</v>
      </c>
      <c r="B1693" t="s">
        <v>1758</v>
      </c>
      <c r="G1693" t="str">
        <f t="shared" si="30"/>
        <v>74.20.2</v>
      </c>
      <c r="H1693" t="str">
        <f t="shared" si="31"/>
        <v>74.20.2 - Fotolabors</v>
      </c>
    </row>
    <row r="1694" spans="1:8" x14ac:dyDescent="0.25">
      <c r="A1694" t="s">
        <v>979</v>
      </c>
      <c r="B1694" t="s">
        <v>1759</v>
      </c>
      <c r="G1694" t="str">
        <f t="shared" si="30"/>
        <v>74.30.1</v>
      </c>
      <c r="H1694" t="str">
        <f t="shared" si="31"/>
        <v>74.30.1 - Übersetzen</v>
      </c>
    </row>
    <row r="1695" spans="1:8" x14ac:dyDescent="0.25">
      <c r="A1695" t="s">
        <v>979</v>
      </c>
      <c r="B1695" t="s">
        <v>1760</v>
      </c>
      <c r="G1695" t="str">
        <f t="shared" si="30"/>
        <v>74.30.2</v>
      </c>
      <c r="H1695" t="str">
        <f t="shared" si="31"/>
        <v>74.30.2 - Dolmetschen</v>
      </c>
    </row>
    <row r="1696" spans="1:8" x14ac:dyDescent="0.25">
      <c r="A1696" t="s">
        <v>980</v>
      </c>
      <c r="B1696" t="s">
        <v>1761</v>
      </c>
      <c r="G1696" t="str">
        <f t="shared" si="30"/>
        <v>74.90.0</v>
      </c>
      <c r="H1696" t="str">
        <f t="shared" si="31"/>
        <v>74.90.0 - Sonstige freiberufliche, wissenschaftliche und technische Tätigkeiten a. n. g.</v>
      </c>
    </row>
    <row r="1697" spans="1:8" x14ac:dyDescent="0.25">
      <c r="A1697" t="s">
        <v>981</v>
      </c>
      <c r="B1697" t="s">
        <v>1762</v>
      </c>
      <c r="G1697" t="str">
        <f t="shared" si="30"/>
        <v>75.00.1</v>
      </c>
      <c r="H1697" t="str">
        <f t="shared" si="31"/>
        <v>75.00.1 - Tierarztpraxen</v>
      </c>
    </row>
    <row r="1698" spans="1:8" x14ac:dyDescent="0.25">
      <c r="A1698" t="s">
        <v>981</v>
      </c>
      <c r="B1698" t="s">
        <v>1763</v>
      </c>
      <c r="G1698" t="str">
        <f t="shared" si="30"/>
        <v>75.00.9</v>
      </c>
      <c r="H1698" t="str">
        <f t="shared" si="31"/>
        <v>75.00.9 - Sonstiges Veterinärwesen</v>
      </c>
    </row>
    <row r="1699" spans="1:8" x14ac:dyDescent="0.25">
      <c r="A1699" t="s">
        <v>982</v>
      </c>
      <c r="B1699" t="s">
        <v>1764</v>
      </c>
      <c r="G1699" t="str">
        <f t="shared" si="30"/>
        <v>77.11.0</v>
      </c>
      <c r="H1699" t="str">
        <f t="shared" si="31"/>
        <v>77.11.0 - Vermietung von Kraftwagen mit einem Gesamtgewicht von 3,5 t oder weniger</v>
      </c>
    </row>
    <row r="1700" spans="1:8" x14ac:dyDescent="0.25">
      <c r="A1700" t="s">
        <v>983</v>
      </c>
      <c r="B1700" t="s">
        <v>1765</v>
      </c>
      <c r="G1700" t="str">
        <f t="shared" si="30"/>
        <v>77.12.0</v>
      </c>
      <c r="H1700" t="str">
        <f t="shared" si="31"/>
        <v>77.12.0 - Vermietung von Kraftwagen mit einem Gesamtgewicht von mehr als 3,5 t</v>
      </c>
    </row>
    <row r="1701" spans="1:8" x14ac:dyDescent="0.25">
      <c r="A1701" t="s">
        <v>984</v>
      </c>
      <c r="B1701" t="s">
        <v>1766</v>
      </c>
      <c r="G1701" t="str">
        <f t="shared" si="30"/>
        <v>77.21.0</v>
      </c>
      <c r="H1701" t="str">
        <f t="shared" si="31"/>
        <v>77.21.0 - Vermietung von Sport- und Freizeitgeräten</v>
      </c>
    </row>
    <row r="1702" spans="1:8" x14ac:dyDescent="0.25">
      <c r="A1702" t="s">
        <v>985</v>
      </c>
      <c r="B1702" t="s">
        <v>1767</v>
      </c>
      <c r="G1702" t="str">
        <f t="shared" si="30"/>
        <v>77.22.0</v>
      </c>
      <c r="H1702" t="str">
        <f t="shared" si="31"/>
        <v>77.22.0 - Videotheken</v>
      </c>
    </row>
    <row r="1703" spans="1:8" x14ac:dyDescent="0.25">
      <c r="A1703" t="s">
        <v>986</v>
      </c>
      <c r="B1703" t="s">
        <v>1768</v>
      </c>
      <c r="G1703" t="str">
        <f t="shared" ref="G1703:G1766" si="32">MID(B1703,1,7)</f>
        <v>77.29.0</v>
      </c>
      <c r="H1703" t="str">
        <f t="shared" si="31"/>
        <v>77.29.0 - Vermietung von sonstigen Gebrauchsgütern</v>
      </c>
    </row>
    <row r="1704" spans="1:8" x14ac:dyDescent="0.25">
      <c r="A1704" t="s">
        <v>987</v>
      </c>
      <c r="B1704" t="s">
        <v>1769</v>
      </c>
      <c r="G1704" t="str">
        <f t="shared" si="32"/>
        <v>77.31.0</v>
      </c>
      <c r="H1704" t="str">
        <f t="shared" ref="H1704:H1767" si="33">B1704</f>
        <v>77.31.0 - Vermietung von landwirtschaftlichen Maschinen und Geräten</v>
      </c>
    </row>
    <row r="1705" spans="1:8" x14ac:dyDescent="0.25">
      <c r="A1705" t="s">
        <v>988</v>
      </c>
      <c r="B1705" t="s">
        <v>1770</v>
      </c>
      <c r="G1705" t="str">
        <f t="shared" si="32"/>
        <v>77.32.0</v>
      </c>
      <c r="H1705" t="str">
        <f t="shared" si="33"/>
        <v>77.32.0 - Vermietung von Baumaschinen und -geräten</v>
      </c>
    </row>
    <row r="1706" spans="1:8" x14ac:dyDescent="0.25">
      <c r="A1706" t="s">
        <v>989</v>
      </c>
      <c r="B1706" t="s">
        <v>1771</v>
      </c>
      <c r="G1706" t="str">
        <f t="shared" si="32"/>
        <v>77.33.0</v>
      </c>
      <c r="H1706" t="str">
        <f t="shared" si="33"/>
        <v>77.33.0 - Vermietung von Büromaschinen, Datenverarbeitungsgeräten und -einrichtungen</v>
      </c>
    </row>
    <row r="1707" spans="1:8" x14ac:dyDescent="0.25">
      <c r="A1707" t="s">
        <v>990</v>
      </c>
      <c r="B1707" t="s">
        <v>1772</v>
      </c>
      <c r="G1707" t="str">
        <f t="shared" si="32"/>
        <v>77.34.0</v>
      </c>
      <c r="H1707" t="str">
        <f t="shared" si="33"/>
        <v>77.34.0 - Vermietung von Wasserfahrzeugen</v>
      </c>
    </row>
    <row r="1708" spans="1:8" x14ac:dyDescent="0.25">
      <c r="A1708" t="s">
        <v>991</v>
      </c>
      <c r="B1708" t="s">
        <v>1773</v>
      </c>
      <c r="G1708" t="str">
        <f t="shared" si="32"/>
        <v>77.35.0</v>
      </c>
      <c r="H1708" t="str">
        <f t="shared" si="33"/>
        <v>77.35.0 - Vermietung von Luftfahrzeugen</v>
      </c>
    </row>
    <row r="1709" spans="1:8" x14ac:dyDescent="0.25">
      <c r="A1709" t="s">
        <v>992</v>
      </c>
      <c r="B1709" t="s">
        <v>1774</v>
      </c>
      <c r="G1709" t="str">
        <f t="shared" si="32"/>
        <v>77.39.0</v>
      </c>
      <c r="H1709" t="str">
        <f t="shared" si="33"/>
        <v>77.39.0 - Vermietung von sonstigen Maschinen, Geräten und beweglichen Sachen a. n. g.</v>
      </c>
    </row>
    <row r="1710" spans="1:8" x14ac:dyDescent="0.25">
      <c r="A1710" t="s">
        <v>993</v>
      </c>
      <c r="B1710" t="s">
        <v>1775</v>
      </c>
      <c r="G1710" t="str">
        <f t="shared" si="32"/>
        <v>77.40.0</v>
      </c>
      <c r="H1710" t="str">
        <f t="shared" si="33"/>
        <v>77.40.0 - Leasing von nichtfinanziellen immateriellen Vermögensgegenständen (ohne Copyrights)</v>
      </c>
    </row>
    <row r="1711" spans="1:8" x14ac:dyDescent="0.25">
      <c r="A1711" t="s">
        <v>994</v>
      </c>
      <c r="B1711" t="s">
        <v>1776</v>
      </c>
      <c r="G1711" t="str">
        <f t="shared" si="32"/>
        <v>78.10.0</v>
      </c>
      <c r="H1711" t="str">
        <f t="shared" si="33"/>
        <v>78.10.0 - Vermittlung von Arbeitskräften</v>
      </c>
    </row>
    <row r="1712" spans="1:8" x14ac:dyDescent="0.25">
      <c r="A1712" t="s">
        <v>995</v>
      </c>
      <c r="B1712" t="s">
        <v>1777</v>
      </c>
      <c r="G1712" t="str">
        <f t="shared" si="32"/>
        <v>78.20.0</v>
      </c>
      <c r="H1712" t="str">
        <f t="shared" si="33"/>
        <v>78.20.0 - Befristete Überlassung von Arbeitskräften</v>
      </c>
    </row>
    <row r="1713" spans="1:8" x14ac:dyDescent="0.25">
      <c r="A1713" t="s">
        <v>996</v>
      </c>
      <c r="B1713" t="s">
        <v>1778</v>
      </c>
      <c r="G1713" t="str">
        <f t="shared" si="32"/>
        <v>78.30.0</v>
      </c>
      <c r="H1713" t="str">
        <f t="shared" si="33"/>
        <v>78.30.0 - Sonstige Überlassung von Arbeitskräften</v>
      </c>
    </row>
    <row r="1714" spans="1:8" x14ac:dyDescent="0.25">
      <c r="A1714" t="s">
        <v>302</v>
      </c>
      <c r="B1714" t="s">
        <v>1779</v>
      </c>
      <c r="G1714" t="str">
        <f t="shared" si="32"/>
        <v>79.11.0</v>
      </c>
      <c r="H1714" t="str">
        <f t="shared" si="33"/>
        <v>79.11.0 - Reisebüros</v>
      </c>
    </row>
    <row r="1715" spans="1:8" x14ac:dyDescent="0.25">
      <c r="A1715" t="s">
        <v>303</v>
      </c>
      <c r="B1715" t="s">
        <v>1780</v>
      </c>
      <c r="G1715" t="str">
        <f t="shared" si="32"/>
        <v>79.12.0</v>
      </c>
      <c r="H1715" t="str">
        <f t="shared" si="33"/>
        <v>79.12.0 - Reiseveranstalter</v>
      </c>
    </row>
    <row r="1716" spans="1:8" x14ac:dyDescent="0.25">
      <c r="A1716" t="s">
        <v>997</v>
      </c>
      <c r="B1716" t="s">
        <v>1781</v>
      </c>
      <c r="G1716" t="str">
        <f t="shared" si="32"/>
        <v>79.90.0</v>
      </c>
      <c r="H1716" t="str">
        <f t="shared" si="33"/>
        <v>79.90.0 - Erbringung sonstiger Reservierungsdienstleistungen</v>
      </c>
    </row>
    <row r="1717" spans="1:8" x14ac:dyDescent="0.25">
      <c r="A1717" t="s">
        <v>998</v>
      </c>
      <c r="B1717" t="s">
        <v>1782</v>
      </c>
      <c r="G1717" t="str">
        <f t="shared" si="32"/>
        <v>80.10.0</v>
      </c>
      <c r="H1717" t="str">
        <f t="shared" si="33"/>
        <v>80.10.0 - Private Wach- und Sicherheitsdienste</v>
      </c>
    </row>
    <row r="1718" spans="1:8" x14ac:dyDescent="0.25">
      <c r="A1718" t="s">
        <v>999</v>
      </c>
      <c r="B1718" t="s">
        <v>1783</v>
      </c>
      <c r="G1718" t="str">
        <f t="shared" si="32"/>
        <v>80.20.0</v>
      </c>
      <c r="H1718" t="str">
        <f t="shared" si="33"/>
        <v>80.20.0 - Sicherheitsdienste mithilfe von Überwachungs- und Alarmsystemen</v>
      </c>
    </row>
    <row r="1719" spans="1:8" x14ac:dyDescent="0.25">
      <c r="A1719" t="s">
        <v>1000</v>
      </c>
      <c r="B1719" t="s">
        <v>1784</v>
      </c>
      <c r="G1719" t="str">
        <f t="shared" si="32"/>
        <v>80.30.0</v>
      </c>
      <c r="H1719" t="str">
        <f t="shared" si="33"/>
        <v>80.30.0 - Detekteien</v>
      </c>
    </row>
    <row r="1720" spans="1:8" x14ac:dyDescent="0.25">
      <c r="A1720" t="s">
        <v>1001</v>
      </c>
      <c r="B1720" t="s">
        <v>1785</v>
      </c>
      <c r="G1720" t="str">
        <f t="shared" si="32"/>
        <v>81.10.0</v>
      </c>
      <c r="H1720" t="str">
        <f t="shared" si="33"/>
        <v>81.10.0 - Hausmeisterdienste</v>
      </c>
    </row>
    <row r="1721" spans="1:8" x14ac:dyDescent="0.25">
      <c r="A1721" t="s">
        <v>1002</v>
      </c>
      <c r="B1721" t="s">
        <v>1786</v>
      </c>
      <c r="G1721" t="str">
        <f t="shared" si="32"/>
        <v>81.21.0</v>
      </c>
      <c r="H1721" t="str">
        <f t="shared" si="33"/>
        <v>81.21.0 - Allgemeine Gebäudereinigung</v>
      </c>
    </row>
    <row r="1722" spans="1:8" x14ac:dyDescent="0.25">
      <c r="A1722" t="s">
        <v>1003</v>
      </c>
      <c r="B1722" t="s">
        <v>1787</v>
      </c>
      <c r="G1722" t="str">
        <f t="shared" si="32"/>
        <v>81.22.1</v>
      </c>
      <c r="H1722" t="str">
        <f t="shared" si="33"/>
        <v>81.22.1 - Schornsteinreinigung</v>
      </c>
    </row>
    <row r="1723" spans="1:8" x14ac:dyDescent="0.25">
      <c r="A1723" t="s">
        <v>1003</v>
      </c>
      <c r="B1723" t="s">
        <v>1788</v>
      </c>
      <c r="G1723" t="str">
        <f t="shared" si="32"/>
        <v>81.22.9</v>
      </c>
      <c r="H1723" t="str">
        <f t="shared" si="33"/>
        <v>81.22.9 - Sonstige spezielle Reinigung von Gebäuden und Maschinen</v>
      </c>
    </row>
    <row r="1724" spans="1:8" x14ac:dyDescent="0.25">
      <c r="A1724" t="s">
        <v>1004</v>
      </c>
      <c r="B1724" t="s">
        <v>1789</v>
      </c>
      <c r="G1724" t="str">
        <f t="shared" si="32"/>
        <v>81.29.1</v>
      </c>
      <c r="H1724" t="str">
        <f t="shared" si="33"/>
        <v>81.29.1 - Reinigung von Verkehrsmitteln</v>
      </c>
    </row>
    <row r="1725" spans="1:8" x14ac:dyDescent="0.25">
      <c r="A1725" t="s">
        <v>1004</v>
      </c>
      <c r="B1725" t="s">
        <v>1790</v>
      </c>
      <c r="G1725" t="str">
        <f t="shared" si="32"/>
        <v>81.29.2</v>
      </c>
      <c r="H1725" t="str">
        <f t="shared" si="33"/>
        <v>81.29.2 - Desinfektion und Schädlingsbekämpfung</v>
      </c>
    </row>
    <row r="1726" spans="1:8" x14ac:dyDescent="0.25">
      <c r="A1726" t="s">
        <v>1004</v>
      </c>
      <c r="B1726" t="s">
        <v>1791</v>
      </c>
      <c r="G1726" t="str">
        <f t="shared" si="32"/>
        <v>81.29.9</v>
      </c>
      <c r="H1726" t="str">
        <f t="shared" si="33"/>
        <v>81.29.9 - Sonstige Reinigung a. n. g.</v>
      </c>
    </row>
    <row r="1727" spans="1:8" x14ac:dyDescent="0.25">
      <c r="A1727" t="s">
        <v>1005</v>
      </c>
      <c r="B1727" t="s">
        <v>1792</v>
      </c>
      <c r="G1727" t="str">
        <f t="shared" si="32"/>
        <v>81.30.1</v>
      </c>
      <c r="H1727" t="str">
        <f t="shared" si="33"/>
        <v>81.30.1 - Garten- und Landschaftsbau</v>
      </c>
    </row>
    <row r="1728" spans="1:8" x14ac:dyDescent="0.25">
      <c r="A1728" t="s">
        <v>1005</v>
      </c>
      <c r="B1728" t="s">
        <v>1793</v>
      </c>
      <c r="G1728" t="str">
        <f t="shared" si="32"/>
        <v>81.30.9</v>
      </c>
      <c r="H1728" t="str">
        <f t="shared" si="33"/>
        <v>81.30.9 - Erbringung von sonstigen gärtnerischen Dienstleistungen</v>
      </c>
    </row>
    <row r="1729" spans="1:8" x14ac:dyDescent="0.25">
      <c r="A1729" t="s">
        <v>1006</v>
      </c>
      <c r="B1729" t="s">
        <v>1794</v>
      </c>
      <c r="G1729" t="str">
        <f t="shared" si="32"/>
        <v>82.11.0</v>
      </c>
      <c r="H1729" t="str">
        <f t="shared" si="33"/>
        <v>82.11.0 - Allgemeine Sekretariats- und Schreibdienste</v>
      </c>
    </row>
    <row r="1730" spans="1:8" x14ac:dyDescent="0.25">
      <c r="A1730" t="s">
        <v>1007</v>
      </c>
      <c r="B1730" t="s">
        <v>1795</v>
      </c>
      <c r="G1730" t="str">
        <f t="shared" si="32"/>
        <v>82.19.0</v>
      </c>
      <c r="H1730" t="str">
        <f t="shared" si="33"/>
        <v>82.19.0 - Copy-Shops; Dokumentenvorbereitung und Erbringung sonstiger spezieller Sekretariatsdienste</v>
      </c>
    </row>
    <row r="1731" spans="1:8" x14ac:dyDescent="0.25">
      <c r="A1731" t="s">
        <v>1008</v>
      </c>
      <c r="B1731" t="s">
        <v>1796</v>
      </c>
      <c r="G1731" t="str">
        <f t="shared" si="32"/>
        <v>82.20.0</v>
      </c>
      <c r="H1731" t="str">
        <f t="shared" si="33"/>
        <v>82.20.0 - Call Center</v>
      </c>
    </row>
    <row r="1732" spans="1:8" x14ac:dyDescent="0.25">
      <c r="A1732" t="s">
        <v>1009</v>
      </c>
      <c r="B1732" t="s">
        <v>1797</v>
      </c>
      <c r="G1732" t="str">
        <f t="shared" si="32"/>
        <v>82.30.0</v>
      </c>
      <c r="H1732" t="str">
        <f t="shared" si="33"/>
        <v>82.30.0 - Messe-, Ausstellungs- und Kongressveranstalter</v>
      </c>
    </row>
    <row r="1733" spans="1:8" x14ac:dyDescent="0.25">
      <c r="A1733" t="s">
        <v>1010</v>
      </c>
      <c r="B1733" t="s">
        <v>1798</v>
      </c>
      <c r="G1733" t="str">
        <f t="shared" si="32"/>
        <v>82.91.1</v>
      </c>
      <c r="H1733" t="str">
        <f t="shared" si="33"/>
        <v>82.91.1 - Inkassobüros</v>
      </c>
    </row>
    <row r="1734" spans="1:8" x14ac:dyDescent="0.25">
      <c r="A1734" t="s">
        <v>1010</v>
      </c>
      <c r="B1734" t="s">
        <v>1799</v>
      </c>
      <c r="G1734" t="str">
        <f t="shared" si="32"/>
        <v>82.91.2</v>
      </c>
      <c r="H1734" t="str">
        <f t="shared" si="33"/>
        <v>82.91.2 - Auskunfteien</v>
      </c>
    </row>
    <row r="1735" spans="1:8" x14ac:dyDescent="0.25">
      <c r="A1735" t="s">
        <v>1011</v>
      </c>
      <c r="B1735" t="s">
        <v>1800</v>
      </c>
      <c r="G1735" t="str">
        <f t="shared" si="32"/>
        <v>82.92.0</v>
      </c>
      <c r="H1735" t="str">
        <f t="shared" si="33"/>
        <v>82.92.0 - Abfüllen und Verpacken</v>
      </c>
    </row>
    <row r="1736" spans="1:8" x14ac:dyDescent="0.25">
      <c r="A1736" t="s">
        <v>1012</v>
      </c>
      <c r="B1736" t="s">
        <v>1801</v>
      </c>
      <c r="G1736" t="str">
        <f t="shared" si="32"/>
        <v>82.99.1</v>
      </c>
      <c r="H1736" t="str">
        <f t="shared" si="33"/>
        <v>82.99.1 - Versteigerungsgewerbe</v>
      </c>
    </row>
    <row r="1737" spans="1:8" x14ac:dyDescent="0.25">
      <c r="A1737" t="s">
        <v>1012</v>
      </c>
      <c r="B1737" t="s">
        <v>1802</v>
      </c>
      <c r="G1737" t="str">
        <f t="shared" si="32"/>
        <v>82.99.9</v>
      </c>
      <c r="H1737" t="str">
        <f t="shared" si="33"/>
        <v>82.99.9 - Erbringung von anderen wirtschaftlichen Dienstleistungen für Unternehmen und Privatpersonen a. n. g.</v>
      </c>
    </row>
    <row r="1738" spans="1:8" x14ac:dyDescent="0.25">
      <c r="A1738" t="s">
        <v>1013</v>
      </c>
      <c r="B1738" t="s">
        <v>1803</v>
      </c>
      <c r="G1738" t="str">
        <f t="shared" si="32"/>
        <v>84.11.0</v>
      </c>
      <c r="H1738" t="str">
        <f t="shared" si="33"/>
        <v>84.11.0 - Allgemeine öffentliche Verwaltung</v>
      </c>
    </row>
    <row r="1739" spans="1:8" x14ac:dyDescent="0.25">
      <c r="A1739" t="s">
        <v>1014</v>
      </c>
      <c r="B1739" t="s">
        <v>1804</v>
      </c>
      <c r="G1739" t="str">
        <f t="shared" si="32"/>
        <v>84.12.0</v>
      </c>
      <c r="H1739" t="str">
        <f t="shared" si="33"/>
        <v>84.12.0 - Öffentliche Verwaltung auf den Gebieten Gesundheitswesen, Bildung, Kultur und Sozialwesen</v>
      </c>
    </row>
    <row r="1740" spans="1:8" x14ac:dyDescent="0.25">
      <c r="A1740" t="s">
        <v>1015</v>
      </c>
      <c r="B1740" t="s">
        <v>1805</v>
      </c>
      <c r="G1740" t="str">
        <f t="shared" si="32"/>
        <v>84.13.0</v>
      </c>
      <c r="H1740" t="str">
        <f t="shared" si="33"/>
        <v>84.13.0 - Wirtschaftsförderung, -ordnung und -aufsicht</v>
      </c>
    </row>
    <row r="1741" spans="1:8" x14ac:dyDescent="0.25">
      <c r="A1741" t="s">
        <v>1016</v>
      </c>
      <c r="B1741" t="s">
        <v>1806</v>
      </c>
      <c r="G1741" t="str">
        <f t="shared" si="32"/>
        <v>84.21.0</v>
      </c>
      <c r="H1741" t="str">
        <f t="shared" si="33"/>
        <v>84.21.0 - Auswärtige Angelegenheiten</v>
      </c>
    </row>
    <row r="1742" spans="1:8" x14ac:dyDescent="0.25">
      <c r="A1742" t="s">
        <v>1017</v>
      </c>
      <c r="B1742" t="s">
        <v>1807</v>
      </c>
      <c r="G1742" t="str">
        <f t="shared" si="32"/>
        <v>84.22.0</v>
      </c>
      <c r="H1742" t="str">
        <f t="shared" si="33"/>
        <v>84.22.0 - Verteidigung</v>
      </c>
    </row>
    <row r="1743" spans="1:8" x14ac:dyDescent="0.25">
      <c r="A1743" t="s">
        <v>1018</v>
      </c>
      <c r="B1743" t="s">
        <v>1808</v>
      </c>
      <c r="G1743" t="str">
        <f t="shared" si="32"/>
        <v>84.23.0</v>
      </c>
      <c r="H1743" t="str">
        <f t="shared" si="33"/>
        <v>84.23.0 - Rechtspflege</v>
      </c>
    </row>
    <row r="1744" spans="1:8" x14ac:dyDescent="0.25">
      <c r="A1744" t="s">
        <v>1019</v>
      </c>
      <c r="B1744" t="s">
        <v>1809</v>
      </c>
      <c r="G1744" t="str">
        <f t="shared" si="32"/>
        <v>84.24.0</v>
      </c>
      <c r="H1744" t="str">
        <f t="shared" si="33"/>
        <v>84.24.0 - Öffentliche Sicherheit und Ordnung</v>
      </c>
    </row>
    <row r="1745" spans="1:8" x14ac:dyDescent="0.25">
      <c r="A1745" t="s">
        <v>1020</v>
      </c>
      <c r="B1745" t="s">
        <v>1810</v>
      </c>
      <c r="G1745" t="str">
        <f t="shared" si="32"/>
        <v>84.25.0</v>
      </c>
      <c r="H1745" t="str">
        <f t="shared" si="33"/>
        <v>84.25.0 - Feuerwehren</v>
      </c>
    </row>
    <row r="1746" spans="1:8" x14ac:dyDescent="0.25">
      <c r="A1746" t="s">
        <v>1021</v>
      </c>
      <c r="B1746" t="s">
        <v>1811</v>
      </c>
      <c r="G1746" t="str">
        <f t="shared" si="32"/>
        <v>84.30.0</v>
      </c>
      <c r="H1746" t="str">
        <f t="shared" si="33"/>
        <v>84.30.0 - Sozialversicherung</v>
      </c>
    </row>
    <row r="1747" spans="1:8" x14ac:dyDescent="0.25">
      <c r="A1747" t="s">
        <v>1022</v>
      </c>
      <c r="B1747" t="s">
        <v>1812</v>
      </c>
      <c r="G1747" t="str">
        <f t="shared" si="32"/>
        <v>85.10.1</v>
      </c>
      <c r="H1747" t="str">
        <f t="shared" si="33"/>
        <v>85.10.1 - Kindergärten</v>
      </c>
    </row>
    <row r="1748" spans="1:8" x14ac:dyDescent="0.25">
      <c r="A1748" t="s">
        <v>1022</v>
      </c>
      <c r="B1748" t="s">
        <v>1813</v>
      </c>
      <c r="G1748" t="str">
        <f t="shared" si="32"/>
        <v>85.10.2</v>
      </c>
      <c r="H1748" t="str">
        <f t="shared" si="33"/>
        <v>85.10.2 - Vorklassen, Schulkindergärten</v>
      </c>
    </row>
    <row r="1749" spans="1:8" x14ac:dyDescent="0.25">
      <c r="A1749" t="s">
        <v>1023</v>
      </c>
      <c r="B1749" t="s">
        <v>1814</v>
      </c>
      <c r="G1749" t="str">
        <f t="shared" si="32"/>
        <v>85.20.0</v>
      </c>
      <c r="H1749" t="str">
        <f t="shared" si="33"/>
        <v>85.20.0 - Grundschulen</v>
      </c>
    </row>
    <row r="1750" spans="1:8" x14ac:dyDescent="0.25">
      <c r="A1750" t="s">
        <v>1024</v>
      </c>
      <c r="B1750" t="s">
        <v>1815</v>
      </c>
      <c r="G1750" t="str">
        <f t="shared" si="32"/>
        <v>85.31.1</v>
      </c>
      <c r="H1750" t="str">
        <f t="shared" si="33"/>
        <v>85.31.1 - Allgemein bildende weiterführende Schulen Sekundarbereich I</v>
      </c>
    </row>
    <row r="1751" spans="1:8" x14ac:dyDescent="0.25">
      <c r="A1751" t="s">
        <v>1024</v>
      </c>
      <c r="B1751" t="s">
        <v>1816</v>
      </c>
      <c r="G1751" t="str">
        <f t="shared" si="32"/>
        <v>85.31.2</v>
      </c>
      <c r="H1751" t="str">
        <f t="shared" si="33"/>
        <v>85.31.2 - Allgemein bildende weiterführende Schulen Sekundarbereich II</v>
      </c>
    </row>
    <row r="1752" spans="1:8" x14ac:dyDescent="0.25">
      <c r="A1752" t="s">
        <v>1025</v>
      </c>
      <c r="B1752" t="s">
        <v>1817</v>
      </c>
      <c r="G1752" t="str">
        <f t="shared" si="32"/>
        <v>85.32.0</v>
      </c>
      <c r="H1752" t="str">
        <f t="shared" si="33"/>
        <v>85.32.0 - Berufsbildende weiterführende Schulen</v>
      </c>
    </row>
    <row r="1753" spans="1:8" x14ac:dyDescent="0.25">
      <c r="A1753" t="s">
        <v>1026</v>
      </c>
      <c r="B1753" t="s">
        <v>1818</v>
      </c>
      <c r="G1753" t="str">
        <f t="shared" si="32"/>
        <v>85.41.0</v>
      </c>
      <c r="H1753" t="str">
        <f t="shared" si="33"/>
        <v>85.41.0 - Post-sekundärer, nicht tertiärer Unterricht</v>
      </c>
    </row>
    <row r="1754" spans="1:8" x14ac:dyDescent="0.25">
      <c r="A1754" t="s">
        <v>1027</v>
      </c>
      <c r="B1754" t="s">
        <v>1819</v>
      </c>
      <c r="G1754" t="str">
        <f t="shared" si="32"/>
        <v>85.42.1</v>
      </c>
      <c r="H1754" t="str">
        <f t="shared" si="33"/>
        <v>85.42.1 - Universitäten</v>
      </c>
    </row>
    <row r="1755" spans="1:8" x14ac:dyDescent="0.25">
      <c r="A1755" t="s">
        <v>1027</v>
      </c>
      <c r="B1755" t="s">
        <v>1820</v>
      </c>
      <c r="G1755" t="str">
        <f t="shared" si="32"/>
        <v>85.42.2</v>
      </c>
      <c r="H1755" t="str">
        <f t="shared" si="33"/>
        <v>85.42.2 - Allgemeine Fachhochschulen</v>
      </c>
    </row>
    <row r="1756" spans="1:8" x14ac:dyDescent="0.25">
      <c r="A1756" t="s">
        <v>1027</v>
      </c>
      <c r="B1756" t="s">
        <v>1821</v>
      </c>
      <c r="G1756" t="str">
        <f t="shared" si="32"/>
        <v>85.42.3</v>
      </c>
      <c r="H1756" t="str">
        <f t="shared" si="33"/>
        <v>85.42.3 - Verwaltungsfachhochschulen</v>
      </c>
    </row>
    <row r="1757" spans="1:8" x14ac:dyDescent="0.25">
      <c r="A1757" t="s">
        <v>1027</v>
      </c>
      <c r="B1757" t="s">
        <v>1822</v>
      </c>
      <c r="G1757" t="str">
        <f t="shared" si="32"/>
        <v>85.42.4</v>
      </c>
      <c r="H1757" t="str">
        <f t="shared" si="33"/>
        <v>85.42.4 - Berufsakademien, Fachakademien, Schulen des Gesundheitswesens</v>
      </c>
    </row>
    <row r="1758" spans="1:8" x14ac:dyDescent="0.25">
      <c r="A1758" t="s">
        <v>1028</v>
      </c>
      <c r="B1758" t="s">
        <v>1823</v>
      </c>
      <c r="G1758" t="str">
        <f t="shared" si="32"/>
        <v>85.51.0</v>
      </c>
      <c r="H1758" t="str">
        <f t="shared" si="33"/>
        <v>85.51.0 - Sport- und Freizeitunterricht</v>
      </c>
    </row>
    <row r="1759" spans="1:8" x14ac:dyDescent="0.25">
      <c r="A1759" t="s">
        <v>1029</v>
      </c>
      <c r="B1759" t="s">
        <v>1824</v>
      </c>
      <c r="G1759" t="str">
        <f t="shared" si="32"/>
        <v>85.52.0</v>
      </c>
      <c r="H1759" t="str">
        <f t="shared" si="33"/>
        <v>85.52.0 - Kulturunterricht</v>
      </c>
    </row>
    <row r="1760" spans="1:8" x14ac:dyDescent="0.25">
      <c r="A1760" t="s">
        <v>1030</v>
      </c>
      <c r="B1760" t="s">
        <v>1825</v>
      </c>
      <c r="G1760" t="str">
        <f t="shared" si="32"/>
        <v>85.53.0</v>
      </c>
      <c r="H1760" t="str">
        <f t="shared" si="33"/>
        <v>85.53.0 - Fahr- und Flugschulen</v>
      </c>
    </row>
    <row r="1761" spans="1:8" x14ac:dyDescent="0.25">
      <c r="A1761" t="s">
        <v>1031</v>
      </c>
      <c r="B1761" t="s">
        <v>1826</v>
      </c>
      <c r="G1761" t="str">
        <f t="shared" si="32"/>
        <v>85.59.1</v>
      </c>
      <c r="H1761" t="str">
        <f t="shared" si="33"/>
        <v>85.59.1 - Allgemeine und politische Erwachsenenbildung</v>
      </c>
    </row>
    <row r="1762" spans="1:8" x14ac:dyDescent="0.25">
      <c r="A1762" t="s">
        <v>1031</v>
      </c>
      <c r="B1762" t="s">
        <v>1827</v>
      </c>
      <c r="G1762" t="str">
        <f t="shared" si="32"/>
        <v>85.59.2</v>
      </c>
      <c r="H1762" t="str">
        <f t="shared" si="33"/>
        <v>85.59.2 - Berufliche Erwachsenenbildung</v>
      </c>
    </row>
    <row r="1763" spans="1:8" x14ac:dyDescent="0.25">
      <c r="A1763" t="s">
        <v>1031</v>
      </c>
      <c r="B1763" t="s">
        <v>1828</v>
      </c>
      <c r="G1763" t="str">
        <f t="shared" si="32"/>
        <v>85.59.9</v>
      </c>
      <c r="H1763" t="str">
        <f t="shared" si="33"/>
        <v>85.59.9 - Unterricht a. n. g.</v>
      </c>
    </row>
    <row r="1764" spans="1:8" x14ac:dyDescent="0.25">
      <c r="A1764" t="s">
        <v>1032</v>
      </c>
      <c r="B1764" t="s">
        <v>1829</v>
      </c>
      <c r="G1764" t="str">
        <f t="shared" si="32"/>
        <v>85.60.0</v>
      </c>
      <c r="H1764" t="str">
        <f t="shared" si="33"/>
        <v>85.60.0 - Erbringung von Dienstleistungen für den Unterricht</v>
      </c>
    </row>
    <row r="1765" spans="1:8" x14ac:dyDescent="0.25">
      <c r="A1765" t="s">
        <v>1033</v>
      </c>
      <c r="B1765" t="s">
        <v>1830</v>
      </c>
      <c r="G1765" t="str">
        <f t="shared" si="32"/>
        <v>86.10.1</v>
      </c>
      <c r="H1765" t="str">
        <f t="shared" si="33"/>
        <v>86.10.1 - Krankenhäuser (ohne Hochschulkliniken, Vorsorge- und Rehabilitationskliniken)</v>
      </c>
    </row>
    <row r="1766" spans="1:8" x14ac:dyDescent="0.25">
      <c r="A1766" t="s">
        <v>1033</v>
      </c>
      <c r="B1766" t="s">
        <v>1831</v>
      </c>
      <c r="G1766" t="str">
        <f t="shared" si="32"/>
        <v>86.10.2</v>
      </c>
      <c r="H1766" t="str">
        <f t="shared" si="33"/>
        <v>86.10.2 - Hochschulkliniken</v>
      </c>
    </row>
    <row r="1767" spans="1:8" x14ac:dyDescent="0.25">
      <c r="A1767" t="s">
        <v>1033</v>
      </c>
      <c r="B1767" t="s">
        <v>1832</v>
      </c>
      <c r="G1767" t="str">
        <f t="shared" ref="G1767:G1833" si="34">MID(B1767,1,7)</f>
        <v>86.10.3</v>
      </c>
      <c r="H1767" t="str">
        <f t="shared" si="33"/>
        <v>86.10.3 - Vorsorge- und Rehabilitationskliniken</v>
      </c>
    </row>
    <row r="1768" spans="1:8" x14ac:dyDescent="0.25">
      <c r="A1768" t="s">
        <v>1034</v>
      </c>
      <c r="B1768" t="s">
        <v>1833</v>
      </c>
      <c r="G1768" t="str">
        <f t="shared" si="34"/>
        <v>86.21.0</v>
      </c>
      <c r="H1768" t="str">
        <f t="shared" ref="H1768:H1831" si="35">B1768</f>
        <v>86.21.0 - Arztpraxen für Allgemeinmedizin</v>
      </c>
    </row>
    <row r="1769" spans="1:8" x14ac:dyDescent="0.25">
      <c r="A1769" t="s">
        <v>1035</v>
      </c>
      <c r="B1769" t="s">
        <v>1834</v>
      </c>
      <c r="G1769" t="str">
        <f t="shared" si="34"/>
        <v>86.22.0</v>
      </c>
      <c r="H1769" t="str">
        <f t="shared" si="35"/>
        <v>86.22.0 - Facharztpraxen</v>
      </c>
    </row>
    <row r="1770" spans="1:8" x14ac:dyDescent="0.25">
      <c r="A1770" t="s">
        <v>1036</v>
      </c>
      <c r="B1770" t="s">
        <v>1835</v>
      </c>
      <c r="G1770" t="str">
        <f t="shared" si="34"/>
        <v>86.23.0</v>
      </c>
      <c r="H1770" t="str">
        <f t="shared" si="35"/>
        <v>86.23.0 - Zahnarztpraxen</v>
      </c>
    </row>
    <row r="1771" spans="1:8" x14ac:dyDescent="0.25">
      <c r="A1771" t="s">
        <v>1037</v>
      </c>
      <c r="B1771" t="s">
        <v>1836</v>
      </c>
      <c r="G1771" t="str">
        <f t="shared" si="34"/>
        <v>86.90.1</v>
      </c>
      <c r="H1771" t="str">
        <f t="shared" si="35"/>
        <v>86.90.1 - Praxen von psychologischen Psychotherapeutinnen und -therapeuten</v>
      </c>
    </row>
    <row r="1772" spans="1:8" x14ac:dyDescent="0.25">
      <c r="A1772" t="s">
        <v>1037</v>
      </c>
      <c r="B1772" t="s">
        <v>1837</v>
      </c>
      <c r="G1772" t="str">
        <f t="shared" si="34"/>
        <v>86.90.2</v>
      </c>
      <c r="H1772" t="str">
        <f t="shared" si="35"/>
        <v>86.90.2 - Massagepraxen, Krankengymnastikpraxen, Praxen von medizinischen Bademeisterinnen und Bademeistern, Hebammen und Entbindungspflegern sowie von verwandten Berufen</v>
      </c>
    </row>
    <row r="1773" spans="1:8" x14ac:dyDescent="0.25">
      <c r="A1773" t="s">
        <v>1037</v>
      </c>
      <c r="B1773" t="s">
        <v>1838</v>
      </c>
      <c r="G1773" t="str">
        <f t="shared" si="34"/>
        <v>86.90.3</v>
      </c>
      <c r="H1773" t="str">
        <f t="shared" si="35"/>
        <v>86.90.3 - Heilpraktikerpraxen</v>
      </c>
    </row>
    <row r="1774" spans="1:8" x14ac:dyDescent="0.25">
      <c r="A1774" t="s">
        <v>1037</v>
      </c>
      <c r="B1774" t="s">
        <v>1839</v>
      </c>
      <c r="G1774" t="str">
        <f t="shared" si="34"/>
        <v>86.90.9</v>
      </c>
      <c r="H1774" t="str">
        <f t="shared" si="35"/>
        <v>86.90.9 - Sonstige selbstständige Tätigkeiten im Gesundheitswesen</v>
      </c>
    </row>
    <row r="1775" spans="1:8" x14ac:dyDescent="0.25">
      <c r="A1775" t="s">
        <v>1038</v>
      </c>
      <c r="B1775" t="s">
        <v>1840</v>
      </c>
      <c r="G1775" t="str">
        <f t="shared" si="34"/>
        <v>87.10.0</v>
      </c>
      <c r="H1775" t="str">
        <f t="shared" si="35"/>
        <v>87.10.0 - Pflegeheime</v>
      </c>
    </row>
    <row r="1776" spans="1:8" x14ac:dyDescent="0.25">
      <c r="A1776" t="s">
        <v>1039</v>
      </c>
      <c r="B1776" t="s">
        <v>1841</v>
      </c>
      <c r="G1776" t="str">
        <f t="shared" si="34"/>
        <v>87.20.0</v>
      </c>
      <c r="H1776" t="str">
        <f t="shared" si="35"/>
        <v>87.20.0 - Stationäre Einrichtungen zur psychosozialen Betreuung, Suchtbekämpfung u. Ä.</v>
      </c>
    </row>
    <row r="1777" spans="1:8" x14ac:dyDescent="0.25">
      <c r="A1777" t="s">
        <v>1040</v>
      </c>
      <c r="B1777" t="s">
        <v>1842</v>
      </c>
      <c r="G1777" t="str">
        <f t="shared" si="34"/>
        <v>87.30.0</v>
      </c>
      <c r="H1777" t="str">
        <f t="shared" si="35"/>
        <v>87.30.0 - Altenheime; Alten- und Behindertenwohnheime</v>
      </c>
    </row>
    <row r="1778" spans="1:8" x14ac:dyDescent="0.25">
      <c r="A1778" t="s">
        <v>1041</v>
      </c>
      <c r="B1778" t="s">
        <v>1843</v>
      </c>
      <c r="G1778" t="str">
        <f t="shared" si="34"/>
        <v>87.90.0</v>
      </c>
      <c r="H1778" t="str">
        <f t="shared" si="35"/>
        <v>87.90.0 - Sonstige Heime (ohne Erholungs- und Ferienheime)</v>
      </c>
    </row>
    <row r="1779" spans="1:8" x14ac:dyDescent="0.25">
      <c r="A1779" t="s">
        <v>1042</v>
      </c>
      <c r="B1779" t="s">
        <v>1844</v>
      </c>
      <c r="G1779" t="str">
        <f t="shared" si="34"/>
        <v>88.10.1</v>
      </c>
      <c r="H1779" t="str">
        <f t="shared" si="35"/>
        <v>88.10.1 - Ambulante soziale Dienste</v>
      </c>
    </row>
    <row r="1780" spans="1:8" x14ac:dyDescent="0.25">
      <c r="A1780" t="s">
        <v>1042</v>
      </c>
      <c r="B1780" t="s">
        <v>1845</v>
      </c>
      <c r="G1780" t="str">
        <f t="shared" si="34"/>
        <v>88.10.2</v>
      </c>
      <c r="H1780" t="str">
        <f t="shared" si="35"/>
        <v>88.10.2 - Sonstige soziale Betreuung älterer Menschen und Behinderter</v>
      </c>
    </row>
    <row r="1781" spans="1:8" x14ac:dyDescent="0.25">
      <c r="A1781" t="s">
        <v>1043</v>
      </c>
      <c r="B1781" t="s">
        <v>1846</v>
      </c>
      <c r="G1781" t="str">
        <f t="shared" si="34"/>
        <v>88.91.0</v>
      </c>
      <c r="H1781" t="str">
        <f t="shared" si="35"/>
        <v>88.91.0 - Tagesbetreuung von Kindern</v>
      </c>
    </row>
    <row r="1782" spans="1:8" x14ac:dyDescent="0.25">
      <c r="A1782" t="s">
        <v>1044</v>
      </c>
      <c r="B1782" t="s">
        <v>1847</v>
      </c>
      <c r="G1782" t="str">
        <f t="shared" si="34"/>
        <v>88.99.0</v>
      </c>
      <c r="H1782" t="str">
        <f t="shared" si="35"/>
        <v>88.99.0 - Sonstiges Sozialwesen a. n. g.</v>
      </c>
    </row>
    <row r="1783" spans="1:8" x14ac:dyDescent="0.25">
      <c r="A1783" t="s">
        <v>334</v>
      </c>
      <c r="B1783" t="s">
        <v>1848</v>
      </c>
      <c r="G1783" t="str">
        <f t="shared" si="34"/>
        <v>90.01.1</v>
      </c>
      <c r="H1783" t="str">
        <f t="shared" si="35"/>
        <v>90.01.1 - Theaterensembles</v>
      </c>
    </row>
    <row r="1784" spans="1:8" x14ac:dyDescent="0.25">
      <c r="A1784" t="s">
        <v>334</v>
      </c>
      <c r="B1784" t="s">
        <v>1849</v>
      </c>
      <c r="G1784" t="str">
        <f t="shared" si="34"/>
        <v>90.01.2</v>
      </c>
      <c r="H1784" t="str">
        <f t="shared" si="35"/>
        <v>90.01.2 - Ballettgruppen, Orchester, Kapellen und Chöre</v>
      </c>
    </row>
    <row r="1785" spans="1:8" x14ac:dyDescent="0.25">
      <c r="A1785" t="s">
        <v>334</v>
      </c>
      <c r="B1785" t="s">
        <v>1850</v>
      </c>
      <c r="G1785" t="str">
        <f t="shared" si="34"/>
        <v>90.01.3</v>
      </c>
      <c r="H1785" t="str">
        <f t="shared" si="35"/>
        <v>90.01.3 - Selbstständige Artistinnen und Artisten, Zirkusgruppen</v>
      </c>
    </row>
    <row r="1786" spans="1:8" x14ac:dyDescent="0.25">
      <c r="A1786" t="s">
        <v>334</v>
      </c>
      <c r="B1786" t="s">
        <v>1851</v>
      </c>
      <c r="G1786" t="str">
        <f t="shared" si="34"/>
        <v>90.01.4</v>
      </c>
      <c r="H1786" t="str">
        <f t="shared" si="35"/>
        <v>90.01.4 - Selbstständige Bühnen-, Film-, Hörfunk- und Fernsehkünstlerinnen und -künstler sowie sonstige darstellende Kunst</v>
      </c>
    </row>
    <row r="1787" spans="1:8" x14ac:dyDescent="0.25">
      <c r="A1787" t="s">
        <v>335</v>
      </c>
      <c r="B1787" t="s">
        <v>1852</v>
      </c>
      <c r="G1787" t="str">
        <f t="shared" si="34"/>
        <v>90.02.0</v>
      </c>
      <c r="H1787" t="str">
        <f t="shared" si="35"/>
        <v>90.02.0 - Erbringung von Dienstleistungen für die darstellende Kunst</v>
      </c>
    </row>
    <row r="1788" spans="1:8" x14ac:dyDescent="0.25">
      <c r="A1788" t="s">
        <v>336</v>
      </c>
      <c r="B1788" t="s">
        <v>1853</v>
      </c>
      <c r="G1788" t="str">
        <f t="shared" si="34"/>
        <v>90.03.1</v>
      </c>
      <c r="H1788" t="str">
        <f t="shared" si="35"/>
        <v>90.03.1 - Selbstständige Komponistinnen, Komponisten, Musikbearbeiterinnen und Musikbearbeiter</v>
      </c>
    </row>
    <row r="1789" spans="1:8" x14ac:dyDescent="0.25">
      <c r="A1789" t="s">
        <v>336</v>
      </c>
      <c r="B1789" t="s">
        <v>1854</v>
      </c>
      <c r="G1789" t="str">
        <f t="shared" si="34"/>
        <v>90.03.2</v>
      </c>
      <c r="H1789" t="str">
        <f t="shared" si="35"/>
        <v>90.03.2 - Selbstständige Schriftstellerinnen und Schriftsteller</v>
      </c>
    </row>
    <row r="1790" spans="1:8" x14ac:dyDescent="0.25">
      <c r="A1790" t="s">
        <v>336</v>
      </c>
      <c r="B1790" t="s">
        <v>1855</v>
      </c>
      <c r="G1790" t="str">
        <f t="shared" si="34"/>
        <v>90.03.3</v>
      </c>
      <c r="H1790" t="str">
        <f t="shared" si="35"/>
        <v>90.03.3 - Selbstständige bildende Künstlerinnen und Künstler</v>
      </c>
    </row>
    <row r="1791" spans="1:8" x14ac:dyDescent="0.25">
      <c r="A1791" t="s">
        <v>336</v>
      </c>
      <c r="B1791" t="s">
        <v>1856</v>
      </c>
      <c r="G1791" t="str">
        <f t="shared" si="34"/>
        <v>90.03.4</v>
      </c>
      <c r="H1791" t="str">
        <f t="shared" si="35"/>
        <v>90.03.4 - Selbstständige Restauratorinnen und Restauratoren</v>
      </c>
    </row>
    <row r="1792" spans="1:8" x14ac:dyDescent="0.25">
      <c r="A1792" t="s">
        <v>336</v>
      </c>
      <c r="B1792" t="s">
        <v>1857</v>
      </c>
      <c r="G1792" t="str">
        <f t="shared" si="34"/>
        <v>90.03.5</v>
      </c>
      <c r="H1792" t="str">
        <f t="shared" si="35"/>
        <v>90.03.5 - Selbstständige Journalistinnen und Journalisten, Pressefotografinnen und Pressefotografen</v>
      </c>
    </row>
    <row r="1793" spans="1:8" x14ac:dyDescent="0.25">
      <c r="A1793" t="s">
        <v>337</v>
      </c>
      <c r="B1793" t="s">
        <v>1858</v>
      </c>
      <c r="G1793" t="str">
        <f t="shared" si="34"/>
        <v>90.04.1</v>
      </c>
      <c r="H1793" t="str">
        <f t="shared" si="35"/>
        <v>90.04.1 - Theater- und Konzertveranstalter</v>
      </c>
    </row>
    <row r="1794" spans="1:8" x14ac:dyDescent="0.25">
      <c r="A1794" t="s">
        <v>337</v>
      </c>
      <c r="B1794" t="s">
        <v>1859</v>
      </c>
      <c r="G1794" t="str">
        <f t="shared" si="34"/>
        <v>90.04.2</v>
      </c>
      <c r="H1794" t="str">
        <f t="shared" si="35"/>
        <v>90.04.2 - Opern- und Schauspielhäuser, Konzerthallen und ähnliche Einrichtungen</v>
      </c>
    </row>
    <row r="1795" spans="1:8" x14ac:dyDescent="0.25">
      <c r="A1795" t="s">
        <v>337</v>
      </c>
      <c r="B1795" t="s">
        <v>1860</v>
      </c>
      <c r="G1795" t="str">
        <f t="shared" si="34"/>
        <v>90.04.3</v>
      </c>
      <c r="H1795" t="str">
        <f t="shared" si="35"/>
        <v>90.04.3 - Varietés und Kleinkunstbühnen</v>
      </c>
    </row>
    <row r="1796" spans="1:8" x14ac:dyDescent="0.25">
      <c r="A1796" t="s">
        <v>339</v>
      </c>
      <c r="B1796" t="s">
        <v>1861</v>
      </c>
      <c r="G1796" t="str">
        <f t="shared" si="34"/>
        <v>91.01.0</v>
      </c>
      <c r="H1796" t="str">
        <f t="shared" si="35"/>
        <v>91.01.0 - Bibliotheken und Archive</v>
      </c>
    </row>
    <row r="1797" spans="1:8" x14ac:dyDescent="0.25">
      <c r="A1797" t="s">
        <v>340</v>
      </c>
      <c r="B1797" t="s">
        <v>1862</v>
      </c>
      <c r="G1797" t="str">
        <f t="shared" si="34"/>
        <v>91.02.0</v>
      </c>
      <c r="H1797" t="str">
        <f t="shared" si="35"/>
        <v>91.02.0 - Museen</v>
      </c>
    </row>
    <row r="1798" spans="1:8" x14ac:dyDescent="0.25">
      <c r="A1798" t="s">
        <v>341</v>
      </c>
      <c r="B1798" t="s">
        <v>1863</v>
      </c>
      <c r="G1798" t="str">
        <f t="shared" si="34"/>
        <v>91.03.0</v>
      </c>
      <c r="H1798" t="str">
        <f t="shared" si="35"/>
        <v>91.03.0 - Betrieb von historischen Stätten und Gebäuden und ähnlichen Attraktionen</v>
      </c>
    </row>
    <row r="1799" spans="1:8" x14ac:dyDescent="0.25">
      <c r="A1799" t="s">
        <v>342</v>
      </c>
      <c r="B1799" t="s">
        <v>1864</v>
      </c>
      <c r="G1799" t="str">
        <f t="shared" si="34"/>
        <v>91.04.0</v>
      </c>
      <c r="H1799" t="str">
        <f t="shared" si="35"/>
        <v>91.04.0 - Botanische und zoologische Gärten sowie Naturparks</v>
      </c>
    </row>
    <row r="1800" spans="1:8" x14ac:dyDescent="0.25">
      <c r="A1800" t="s">
        <v>1045</v>
      </c>
      <c r="B1800" t="s">
        <v>344</v>
      </c>
      <c r="G1800" t="str">
        <f t="shared" si="34"/>
        <v>92.00.1</v>
      </c>
      <c r="H1800" t="str">
        <f t="shared" si="35"/>
        <v>92.00.1 - Spielhallen und Betrieb von Spielautomaten</v>
      </c>
    </row>
    <row r="1801" spans="1:8" x14ac:dyDescent="0.25">
      <c r="A1801" t="s">
        <v>1045</v>
      </c>
      <c r="B1801" t="s">
        <v>345</v>
      </c>
      <c r="G1801" t="str">
        <f t="shared" si="34"/>
        <v>92.00.2</v>
      </c>
      <c r="H1801" t="str">
        <f t="shared" si="35"/>
        <v>92.00.2 - Spielbanken und Spielklubs</v>
      </c>
    </row>
    <row r="1802" spans="1:8" x14ac:dyDescent="0.25">
      <c r="A1802" t="s">
        <v>1045</v>
      </c>
      <c r="B1802" t="s">
        <v>1865</v>
      </c>
      <c r="G1802" t="str">
        <f t="shared" si="34"/>
        <v>92.00.3</v>
      </c>
      <c r="H1802" t="str">
        <f t="shared" si="35"/>
        <v>92.00.3 - Wett-, Toto- und Lotteriewesen</v>
      </c>
    </row>
    <row r="1803" spans="1:8" x14ac:dyDescent="0.25">
      <c r="A1803" t="s">
        <v>347</v>
      </c>
      <c r="B1803" t="s">
        <v>1866</v>
      </c>
      <c r="G1803" t="str">
        <f t="shared" si="34"/>
        <v>93.11.0</v>
      </c>
      <c r="H1803" t="str">
        <f t="shared" si="35"/>
        <v>93.11.0 - Betrieb von Sportanlagen</v>
      </c>
    </row>
    <row r="1804" spans="1:8" x14ac:dyDescent="0.25">
      <c r="A1804" t="s">
        <v>348</v>
      </c>
      <c r="B1804" t="s">
        <v>1867</v>
      </c>
      <c r="G1804" t="str">
        <f t="shared" si="34"/>
        <v>93.12.0</v>
      </c>
      <c r="H1804" t="str">
        <f t="shared" si="35"/>
        <v>93.12.0 - Sportvereine</v>
      </c>
    </row>
    <row r="1805" spans="1:8" x14ac:dyDescent="0.25">
      <c r="A1805" t="s">
        <v>349</v>
      </c>
      <c r="B1805" t="s">
        <v>1868</v>
      </c>
      <c r="G1805" t="str">
        <f t="shared" si="34"/>
        <v>93.13.0</v>
      </c>
      <c r="H1805" t="str">
        <f t="shared" si="35"/>
        <v>93.13.0 - Fitnesszentren</v>
      </c>
    </row>
    <row r="1806" spans="1:8" x14ac:dyDescent="0.25">
      <c r="A1806" t="s">
        <v>350</v>
      </c>
      <c r="B1806" t="s">
        <v>1869</v>
      </c>
      <c r="G1806" t="str">
        <f t="shared" si="34"/>
        <v>93.19.0</v>
      </c>
      <c r="H1806" t="str">
        <f t="shared" si="35"/>
        <v>93.19.0 - Erbringung von sonstigen Dienstleistungen des Sports</v>
      </c>
    </row>
    <row r="1807" spans="1:8" x14ac:dyDescent="0.25">
      <c r="A1807" t="s">
        <v>352</v>
      </c>
      <c r="B1807" t="s">
        <v>1870</v>
      </c>
      <c r="G1807" t="str">
        <f t="shared" si="34"/>
        <v>93.21.0</v>
      </c>
      <c r="H1807" t="str">
        <f t="shared" si="35"/>
        <v>93.21.0 - Vergnügungs- und Themenparks</v>
      </c>
    </row>
    <row r="1808" spans="1:8" x14ac:dyDescent="0.25">
      <c r="A1808" t="s">
        <v>353</v>
      </c>
      <c r="B1808" t="s">
        <v>1871</v>
      </c>
      <c r="G1808" t="str">
        <f t="shared" si="34"/>
        <v>93.29.0</v>
      </c>
      <c r="H1808" t="str">
        <f t="shared" si="35"/>
        <v>93.29.0 - Erbringung von Dienstleistungen der Unterhaltung und der Erholung a. n. g.</v>
      </c>
    </row>
    <row r="1809" spans="1:8" x14ac:dyDescent="0.25">
      <c r="A1809" t="s">
        <v>1046</v>
      </c>
      <c r="B1809" t="s">
        <v>1872</v>
      </c>
      <c r="G1809" t="str">
        <f t="shared" si="34"/>
        <v>94.11.0</v>
      </c>
      <c r="H1809" t="str">
        <f t="shared" si="35"/>
        <v>94.11.0 - Wirtschafts- und Arbeitgeberverbände</v>
      </c>
    </row>
    <row r="1810" spans="1:8" x14ac:dyDescent="0.25">
      <c r="A1810" t="s">
        <v>1047</v>
      </c>
      <c r="B1810" t="s">
        <v>1873</v>
      </c>
      <c r="G1810" t="str">
        <f t="shared" si="34"/>
        <v>94.12.0</v>
      </c>
      <c r="H1810" t="str">
        <f t="shared" si="35"/>
        <v>94.12.0 - Berufsorganisationen</v>
      </c>
    </row>
    <row r="1811" spans="1:8" x14ac:dyDescent="0.25">
      <c r="A1811" t="s">
        <v>1048</v>
      </c>
      <c r="B1811" t="s">
        <v>1874</v>
      </c>
      <c r="G1811" t="str">
        <f t="shared" si="34"/>
        <v>94.20.0</v>
      </c>
      <c r="H1811" t="str">
        <f t="shared" si="35"/>
        <v>94.20.0 - Arbeitnehmervereinigungen</v>
      </c>
    </row>
    <row r="1812" spans="1:8" x14ac:dyDescent="0.25">
      <c r="A1812" t="s">
        <v>1049</v>
      </c>
      <c r="B1812" t="s">
        <v>1875</v>
      </c>
      <c r="G1812" t="str">
        <f t="shared" si="34"/>
        <v>94.91.0</v>
      </c>
      <c r="H1812" t="str">
        <f t="shared" si="35"/>
        <v>94.91.0 - Kirchliche und sonstige religiöse Vereinigungen</v>
      </c>
    </row>
    <row r="1813" spans="1:8" x14ac:dyDescent="0.25">
      <c r="A1813" t="s">
        <v>1050</v>
      </c>
      <c r="B1813" t="s">
        <v>1876</v>
      </c>
      <c r="G1813" t="str">
        <f t="shared" si="34"/>
        <v>94.92.0</v>
      </c>
      <c r="H1813" t="str">
        <f t="shared" si="35"/>
        <v>94.92.0 - Politische Parteien und Vereinigungen</v>
      </c>
    </row>
    <row r="1814" spans="1:8" x14ac:dyDescent="0.25">
      <c r="A1814" t="s">
        <v>1051</v>
      </c>
      <c r="B1814" t="s">
        <v>1877</v>
      </c>
      <c r="G1814" t="str">
        <f t="shared" si="34"/>
        <v>94.99.1</v>
      </c>
      <c r="H1814" t="str">
        <f t="shared" si="35"/>
        <v>94.99.1 - Organisationen der Bildung, Wissenschaft und Forschung</v>
      </c>
    </row>
    <row r="1815" spans="1:8" x14ac:dyDescent="0.25">
      <c r="A1815" t="s">
        <v>1051</v>
      </c>
      <c r="B1815" t="s">
        <v>1878</v>
      </c>
      <c r="G1815" t="str">
        <f t="shared" si="34"/>
        <v>94.99.2</v>
      </c>
      <c r="H1815" t="str">
        <f t="shared" si="35"/>
        <v>94.99.2 - Organisationen der Kultur</v>
      </c>
    </row>
    <row r="1816" spans="1:8" x14ac:dyDescent="0.25">
      <c r="A1816" t="s">
        <v>1051</v>
      </c>
      <c r="B1816" t="s">
        <v>1879</v>
      </c>
      <c r="G1816" t="str">
        <f t="shared" si="34"/>
        <v>94.99.3</v>
      </c>
      <c r="H1816" t="str">
        <f t="shared" si="35"/>
        <v>94.99.3 - Verbraucherorganisationen</v>
      </c>
    </row>
    <row r="1817" spans="1:8" x14ac:dyDescent="0.25">
      <c r="A1817" t="s">
        <v>1051</v>
      </c>
      <c r="B1817" t="s">
        <v>1880</v>
      </c>
      <c r="G1817" t="str">
        <f t="shared" si="34"/>
        <v>94.99.4</v>
      </c>
      <c r="H1817" t="str">
        <f t="shared" si="35"/>
        <v>94.99.4 - Jugendorganisationen</v>
      </c>
    </row>
    <row r="1818" spans="1:8" x14ac:dyDescent="0.25">
      <c r="A1818" t="s">
        <v>1051</v>
      </c>
      <c r="B1818" t="s">
        <v>1881</v>
      </c>
      <c r="G1818" t="str">
        <f t="shared" si="34"/>
        <v>94.99.9</v>
      </c>
      <c r="H1818" t="str">
        <f t="shared" si="35"/>
        <v>94.99.9 - Interessenvertretungen und Vereinigungen a. n. g.</v>
      </c>
    </row>
    <row r="1819" spans="1:8" x14ac:dyDescent="0.25">
      <c r="A1819" t="s">
        <v>1052</v>
      </c>
      <c r="B1819" t="s">
        <v>1882</v>
      </c>
      <c r="G1819" t="str">
        <f t="shared" si="34"/>
        <v>95.11.0</v>
      </c>
      <c r="H1819" t="str">
        <f t="shared" si="35"/>
        <v>95.11.0 - Reparatur von Datenverarbeitungsgeräten und peripheren Geräten</v>
      </c>
    </row>
    <row r="1820" spans="1:8" x14ac:dyDescent="0.25">
      <c r="A1820" t="s">
        <v>1053</v>
      </c>
      <c r="B1820" t="s">
        <v>1883</v>
      </c>
      <c r="G1820" t="str">
        <f t="shared" si="34"/>
        <v>95.12.0</v>
      </c>
      <c r="H1820" t="str">
        <f t="shared" si="35"/>
        <v>95.12.0 - Reparatur von Telekommunikationsgeräten</v>
      </c>
    </row>
    <row r="1821" spans="1:8" x14ac:dyDescent="0.25">
      <c r="A1821" t="s">
        <v>1054</v>
      </c>
      <c r="B1821" t="s">
        <v>1884</v>
      </c>
      <c r="G1821" t="str">
        <f t="shared" si="34"/>
        <v>95.21.0</v>
      </c>
      <c r="H1821" t="str">
        <f t="shared" si="35"/>
        <v>95.21.0 - Reparatur von Geräten der Unterhaltungselektronik</v>
      </c>
    </row>
    <row r="1822" spans="1:8" x14ac:dyDescent="0.25">
      <c r="A1822" t="s">
        <v>1055</v>
      </c>
      <c r="B1822" t="s">
        <v>1885</v>
      </c>
      <c r="G1822" t="str">
        <f t="shared" si="34"/>
        <v>95.22.0</v>
      </c>
      <c r="H1822" t="str">
        <f t="shared" si="35"/>
        <v>95.22.0 - Reparatur von elektrischen Haushaltsgeräten und Gartengeräten</v>
      </c>
    </row>
    <row r="1823" spans="1:8" x14ac:dyDescent="0.25">
      <c r="A1823" t="s">
        <v>1056</v>
      </c>
      <c r="B1823" t="s">
        <v>1886</v>
      </c>
      <c r="G1823" t="str">
        <f t="shared" si="34"/>
        <v>95.23.0</v>
      </c>
      <c r="H1823" t="str">
        <f t="shared" si="35"/>
        <v>95.23.0 - Reparatur von Schuhen und Lederwaren</v>
      </c>
    </row>
    <row r="1824" spans="1:8" x14ac:dyDescent="0.25">
      <c r="A1824" t="s">
        <v>1057</v>
      </c>
      <c r="B1824" t="s">
        <v>1887</v>
      </c>
      <c r="G1824" t="str">
        <f t="shared" si="34"/>
        <v>95.24.0</v>
      </c>
      <c r="H1824" t="str">
        <f t="shared" si="35"/>
        <v>95.24.0 - Reparatur von Möbeln und Einrichtungsgegenständen</v>
      </c>
    </row>
    <row r="1825" spans="1:8" x14ac:dyDescent="0.25">
      <c r="A1825" t="s">
        <v>1058</v>
      </c>
      <c r="B1825" t="s">
        <v>1888</v>
      </c>
      <c r="G1825" t="str">
        <f t="shared" si="34"/>
        <v>95.25.0</v>
      </c>
      <c r="H1825" t="str">
        <f t="shared" si="35"/>
        <v>95.25.0 - Reparatur von Uhren und Schmuck</v>
      </c>
    </row>
    <row r="1826" spans="1:8" x14ac:dyDescent="0.25">
      <c r="A1826" t="s">
        <v>1059</v>
      </c>
      <c r="B1826" t="s">
        <v>1889</v>
      </c>
      <c r="G1826" t="str">
        <f t="shared" si="34"/>
        <v>95.29.0</v>
      </c>
      <c r="H1826" t="str">
        <f t="shared" si="35"/>
        <v>95.29.0 - Reparatur von sonstigen Gebrauchsgütern</v>
      </c>
    </row>
    <row r="1827" spans="1:8" x14ac:dyDescent="0.25">
      <c r="A1827" t="s">
        <v>1060</v>
      </c>
      <c r="B1827" t="s">
        <v>1890</v>
      </c>
      <c r="G1827" t="str">
        <f t="shared" si="34"/>
        <v>96.01.0</v>
      </c>
      <c r="H1827" t="str">
        <f t="shared" si="35"/>
        <v>96.01.0 - Wäscherei und chemische Reinigung</v>
      </c>
    </row>
    <row r="1828" spans="1:8" x14ac:dyDescent="0.25">
      <c r="A1828" t="s">
        <v>1061</v>
      </c>
      <c r="B1828" t="s">
        <v>360</v>
      </c>
      <c r="G1828" t="str">
        <f t="shared" si="34"/>
        <v>96.02.1</v>
      </c>
      <c r="H1828" t="str">
        <f t="shared" si="35"/>
        <v>96.02.1 - Frisörsalons</v>
      </c>
    </row>
    <row r="1829" spans="1:8" x14ac:dyDescent="0.25">
      <c r="A1829" t="s">
        <v>1061</v>
      </c>
      <c r="B1829" t="s">
        <v>361</v>
      </c>
      <c r="G1829" t="str">
        <f t="shared" si="34"/>
        <v>96.02.2</v>
      </c>
      <c r="H1829" t="str">
        <f t="shared" si="35"/>
        <v>96.02.2 - Kosmetiksalons</v>
      </c>
    </row>
    <row r="1830" spans="1:8" x14ac:dyDescent="0.25">
      <c r="A1830" t="s">
        <v>1062</v>
      </c>
      <c r="B1830" t="s">
        <v>1891</v>
      </c>
      <c r="G1830" t="str">
        <f t="shared" si="34"/>
        <v>96.03.1</v>
      </c>
      <c r="H1830" t="str">
        <f t="shared" si="35"/>
        <v>96.03.1 - Bestattungsinstitute</v>
      </c>
    </row>
    <row r="1831" spans="1:8" x14ac:dyDescent="0.25">
      <c r="A1831" t="s">
        <v>1062</v>
      </c>
      <c r="B1831" t="s">
        <v>1892</v>
      </c>
      <c r="G1831" t="str">
        <f t="shared" si="34"/>
        <v>96.03.2</v>
      </c>
      <c r="H1831" t="str">
        <f t="shared" si="35"/>
        <v>96.03.2 - Friedhöfe und Krematorien</v>
      </c>
    </row>
    <row r="1832" spans="1:8" x14ac:dyDescent="0.25">
      <c r="A1832" t="s">
        <v>362</v>
      </c>
      <c r="B1832" t="s">
        <v>1893</v>
      </c>
      <c r="G1832" t="str">
        <f t="shared" si="34"/>
        <v>96.04.0</v>
      </c>
      <c r="H1832" t="str">
        <f>B1832</f>
        <v>96.04.0 - Saunas, Solarien, Bäder u. Ä.</v>
      </c>
    </row>
    <row r="1833" spans="1:8" x14ac:dyDescent="0.25">
      <c r="A1833" t="s">
        <v>363</v>
      </c>
      <c r="B1833" t="s">
        <v>1894</v>
      </c>
      <c r="G1833" t="str">
        <f t="shared" si="34"/>
        <v>96.09.0</v>
      </c>
      <c r="H1833" t="str">
        <f>B1833</f>
        <v>96.09.0 - Erbringung von sonstigen Dienstleistungen a. n. g.</v>
      </c>
    </row>
  </sheetData>
  <sortState ref="A113:B403">
    <sortCondition ref="A113:A403"/>
  </sortState>
  <pageMargins left="0.7" right="0.7" top="0.78740157499999996" bottom="0.78740157499999996" header="0.3" footer="0.3"/>
  <pageSetup paperSize="9" orientation="portrait" horizontalDpi="0" verticalDpi="0" r:id="rId1"/>
  <ignoredErrors>
    <ignoredError sqref="D26:D44"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25FD0E5-119B-46B9-B6A6-7E31EA88B59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Stammdaten</vt:lpstr>
      <vt:lpstr>Betriebsstätten</vt:lpstr>
      <vt:lpstr>Kostenaufstellungen</vt:lpstr>
      <vt:lpstr>Stufe 1</vt:lpstr>
      <vt:lpstr>Stufe 2 und 3</vt:lpstr>
      <vt:lpstr>Ergebnis</vt:lpstr>
      <vt:lpstr>SAB</vt:lpstr>
      <vt:lpstr>I_SV</vt:lpstr>
      <vt:lpstr>WZ</vt:lpstr>
      <vt:lpstr>Betriebsstätten!Druckbereich</vt:lpstr>
      <vt:lpstr>Ergebnis!Druckbereich</vt:lpstr>
      <vt:lpstr>Kostenaufstellungen!Druckbereich</vt:lpstr>
      <vt:lpstr>Stammdaten!Druckbereich</vt:lpstr>
      <vt:lpstr>'Stufe 1'!Druckbereich</vt:lpstr>
      <vt:lpstr>'Stufe 2 und 3'!Druckbereich</vt:lpstr>
      <vt:lpstr>Betriebsstätten!Drucktitel</vt:lpstr>
      <vt:lpstr>Kostenaufstellungen!Drucktitel</vt:lpstr>
      <vt:lpstr>Stammdaten!Drucktitel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Fehrling, Marc (SMWA)</dc:creator>
  <cp:lastModifiedBy>Fehrling, Marc (SMWA)</cp:lastModifiedBy>
  <cp:lastPrinted>2023-04-03T11:54:01Z</cp:lastPrinted>
  <dcterms:created xsi:type="dcterms:W3CDTF">2015-06-05T18:19:34Z</dcterms:created>
  <dcterms:modified xsi:type="dcterms:W3CDTF">2023-06-22T23:10:44Z</dcterms:modified>
  <cp:contentStatus/>
</cp:coreProperties>
</file>